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cique\Documents\ESCRITORIO\FIDEICOMISOS\reporte sep\SANTANDER SERFIN\PRODEP 2018\"/>
    </mc:Choice>
  </mc:AlternateContent>
  <bookViews>
    <workbookView xWindow="0" yWindow="0" windowWidth="2370" windowHeight="225"/>
  </bookViews>
  <sheets>
    <sheet name="2001798-001 2018 1ER TRIM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QRO96">'[1]32CCG94'!#REF!</definedName>
    <definedName name="__QRO97">'[1]32CCG94'!#REF!</definedName>
    <definedName name="__QRO98">'[1]32CCG94'!#REF!</definedName>
    <definedName name="__QRO99">'[1]32CCG94'!#REF!</definedName>
    <definedName name="_QRO96" localSheetId="0">'[1]32CCG94'!#REF!</definedName>
    <definedName name="_QRO97" localSheetId="0">'[1]32CCG94'!#REF!</definedName>
    <definedName name="_QRO98" localSheetId="0">'[1]32CCG94'!#REF!</definedName>
    <definedName name="_QRO99" localSheetId="0">'[1]32CCG94'!#REF!</definedName>
    <definedName name="A_impresión_IM" localSheetId="0">'[2]32CCG94'!#REF!</definedName>
    <definedName name="A_impresión_IM">'[3]32CCG94'!#REF!</definedName>
    <definedName name="_xlnm.Print_Area" localSheetId="0">'2001798-001 2018 1ER TRIM'!$A$1:$J$125</definedName>
    <definedName name="RANGO" localSheetId="0">#REF!</definedName>
    <definedName name="RANGO">#REF!</definedName>
    <definedName name="SDSSF21" localSheetId="0">'[3]32CCG94'!#REF!</definedName>
    <definedName name="SDSSF21">'[3]32CCG94'!#REF!</definedName>
    <definedName name="_xlnm.Print_Titles" localSheetId="0">'2001798-001 2018 1ER TRIM'!$A:$J,'2001798-001 2018 1ER TRIM'!$1:$9</definedName>
    <definedName name="Tulanc" localSheetId="0">#REF!</definedName>
    <definedName name="Tulanc">'[4]94-32-08'!#REF!</definedName>
    <definedName name="UABAC98" localSheetId="0">'[5]32CCG94'!#REF!</definedName>
    <definedName name="UABAC98">'[5]32CCG94'!#REF!</definedName>
    <definedName name="UABC95" localSheetId="0">'[6]32CCG94'!#REF!</definedName>
    <definedName name="UABC95">'[5]32CCG94'!#REF!</definedName>
    <definedName name="uabc96" localSheetId="0">'[5]32CCG94'!#REF!</definedName>
    <definedName name="uabc96">'[5]32CCG94'!#REF!</definedName>
    <definedName name="UABC97" localSheetId="0">'[5]32CCG94'!#REF!</definedName>
    <definedName name="UABC97">'[5]32CCG94'!#REF!</definedName>
    <definedName name="UABC98" localSheetId="0">'[5]32CCG94'!#REF!</definedName>
    <definedName name="UABC98">'[5]32CCG94'!#REF!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1" i="2" l="1"/>
  <c r="B112" i="2" s="1"/>
  <c r="I111" i="2"/>
  <c r="I112" i="2"/>
  <c r="I113" i="2"/>
  <c r="I114" i="2"/>
  <c r="E111" i="2"/>
  <c r="E112" i="2"/>
  <c r="E113" i="2"/>
  <c r="B111" i="2"/>
  <c r="J112" i="2" l="1"/>
  <c r="B113" i="2" s="1"/>
  <c r="J113" i="2" s="1"/>
  <c r="B114" i="2" s="1"/>
  <c r="G116" i="2"/>
  <c r="F116" i="2"/>
  <c r="E114" i="2"/>
  <c r="I110" i="2"/>
  <c r="E110" i="2"/>
  <c r="I109" i="2"/>
  <c r="E109" i="2"/>
  <c r="I108" i="2"/>
  <c r="E108" i="2"/>
  <c r="I107" i="2"/>
  <c r="E107" i="2"/>
  <c r="I106" i="2"/>
  <c r="E106" i="2"/>
  <c r="I105" i="2"/>
  <c r="D105" i="2"/>
  <c r="E105" i="2" s="1"/>
  <c r="I104" i="2"/>
  <c r="E104" i="2"/>
  <c r="D104" i="2"/>
  <c r="I103" i="2"/>
  <c r="E103" i="2"/>
  <c r="D103" i="2"/>
  <c r="I102" i="2"/>
  <c r="D102" i="2"/>
  <c r="E102" i="2" s="1"/>
  <c r="I101" i="2"/>
  <c r="D101" i="2"/>
  <c r="E101" i="2" s="1"/>
  <c r="I100" i="2"/>
  <c r="D100" i="2"/>
  <c r="E100" i="2" s="1"/>
  <c r="C100" i="2"/>
  <c r="I99" i="2"/>
  <c r="E99" i="2"/>
  <c r="I98" i="2"/>
  <c r="D98" i="2"/>
  <c r="E98" i="2" s="1"/>
  <c r="I97" i="2"/>
  <c r="D97" i="2"/>
  <c r="E97" i="2" s="1"/>
  <c r="I96" i="2"/>
  <c r="E96" i="2"/>
  <c r="I95" i="2"/>
  <c r="D95" i="2"/>
  <c r="E95" i="2" s="1"/>
  <c r="I94" i="2"/>
  <c r="E94" i="2"/>
  <c r="D94" i="2"/>
  <c r="I93" i="2"/>
  <c r="E93" i="2"/>
  <c r="I92" i="2"/>
  <c r="D92" i="2"/>
  <c r="E92" i="2" s="1"/>
  <c r="I91" i="2"/>
  <c r="I90" i="2"/>
  <c r="E90" i="2"/>
  <c r="D90" i="2"/>
  <c r="I89" i="2"/>
  <c r="D89" i="2"/>
  <c r="E89" i="2" s="1"/>
  <c r="I88" i="2"/>
  <c r="E88" i="2"/>
  <c r="I87" i="2"/>
  <c r="E87" i="2"/>
  <c r="I86" i="2"/>
  <c r="E86" i="2"/>
  <c r="I85" i="2"/>
  <c r="E85" i="2"/>
  <c r="I84" i="2"/>
  <c r="E84" i="2"/>
  <c r="I83" i="2"/>
  <c r="E83" i="2"/>
  <c r="I82" i="2"/>
  <c r="E82" i="2"/>
  <c r="I81" i="2"/>
  <c r="E81" i="2"/>
  <c r="I80" i="2"/>
  <c r="I79" i="2"/>
  <c r="E79" i="2"/>
  <c r="I78" i="2"/>
  <c r="E78" i="2"/>
  <c r="I77" i="2"/>
  <c r="E77" i="2"/>
  <c r="E76" i="2"/>
  <c r="I75" i="2"/>
  <c r="E75" i="2"/>
  <c r="I74" i="2"/>
  <c r="E74" i="2"/>
  <c r="I73" i="2"/>
  <c r="E73" i="2"/>
  <c r="I72" i="2"/>
  <c r="E72" i="2"/>
  <c r="I71" i="2"/>
  <c r="H71" i="2"/>
  <c r="C71" i="2"/>
  <c r="E71" i="2" s="1"/>
  <c r="I70" i="2"/>
  <c r="I69" i="2"/>
  <c r="C69" i="2"/>
  <c r="E69" i="2" s="1"/>
  <c r="I68" i="2"/>
  <c r="E68" i="2"/>
  <c r="I67" i="2"/>
  <c r="C67" i="2"/>
  <c r="E67" i="2" s="1"/>
  <c r="I66" i="2"/>
  <c r="E66" i="2"/>
  <c r="C66" i="2"/>
  <c r="I65" i="2"/>
  <c r="E65" i="2"/>
  <c r="I64" i="2"/>
  <c r="E64" i="2"/>
  <c r="I63" i="2"/>
  <c r="E63" i="2"/>
  <c r="I62" i="2"/>
  <c r="E62" i="2"/>
  <c r="I61" i="2"/>
  <c r="E61" i="2"/>
  <c r="I60" i="2"/>
  <c r="E60" i="2"/>
  <c r="I59" i="2"/>
  <c r="E59" i="2"/>
  <c r="C59" i="2"/>
  <c r="B59" i="2"/>
  <c r="I58" i="2"/>
  <c r="E58" i="2"/>
  <c r="I57" i="2"/>
  <c r="E57" i="2"/>
  <c r="I56" i="2"/>
  <c r="C56" i="2"/>
  <c r="E56" i="2" s="1"/>
  <c r="I55" i="2"/>
  <c r="E55" i="2"/>
  <c r="I54" i="2"/>
  <c r="E54" i="2"/>
  <c r="I53" i="2"/>
  <c r="E53" i="2"/>
  <c r="I52" i="2"/>
  <c r="C52" i="2"/>
  <c r="E52" i="2" s="1"/>
  <c r="I51" i="2"/>
  <c r="E51" i="2"/>
  <c r="I50" i="2"/>
  <c r="C50" i="2"/>
  <c r="E50" i="2" s="1"/>
  <c r="I49" i="2"/>
  <c r="E49" i="2"/>
  <c r="I48" i="2"/>
  <c r="E48" i="2"/>
  <c r="I47" i="2"/>
  <c r="C47" i="2"/>
  <c r="E47" i="2" s="1"/>
  <c r="I46" i="2"/>
  <c r="E46" i="2"/>
  <c r="C46" i="2"/>
  <c r="I45" i="2"/>
  <c r="E45" i="2"/>
  <c r="I44" i="2"/>
  <c r="C44" i="2"/>
  <c r="E44" i="2" s="1"/>
  <c r="I43" i="2"/>
  <c r="C43" i="2"/>
  <c r="E43" i="2" s="1"/>
  <c r="I42" i="2"/>
  <c r="E42" i="2"/>
  <c r="I41" i="2"/>
  <c r="E41" i="2"/>
  <c r="C41" i="2"/>
  <c r="I40" i="2"/>
  <c r="E40" i="2"/>
  <c r="I39" i="2"/>
  <c r="E39" i="2"/>
  <c r="C39" i="2"/>
  <c r="I38" i="2"/>
  <c r="E38" i="2"/>
  <c r="I37" i="2"/>
  <c r="E37" i="2"/>
  <c r="C37" i="2"/>
  <c r="I36" i="2"/>
  <c r="C36" i="2"/>
  <c r="E36" i="2" s="1"/>
  <c r="I35" i="2"/>
  <c r="E35" i="2"/>
  <c r="I34" i="2"/>
  <c r="C34" i="2"/>
  <c r="E34" i="2" s="1"/>
  <c r="I33" i="2"/>
  <c r="C33" i="2"/>
  <c r="E33" i="2" s="1"/>
  <c r="I32" i="2"/>
  <c r="E32" i="2"/>
  <c r="I31" i="2"/>
  <c r="E31" i="2"/>
  <c r="C31" i="2"/>
  <c r="I30" i="2"/>
  <c r="C30" i="2"/>
  <c r="E30" i="2" s="1"/>
  <c r="I29" i="2"/>
  <c r="E29" i="2"/>
  <c r="E28" i="2"/>
  <c r="I27" i="2"/>
  <c r="E27" i="2"/>
  <c r="I26" i="2"/>
  <c r="E26" i="2"/>
  <c r="D26" i="2"/>
  <c r="I25" i="2"/>
  <c r="I24" i="2"/>
  <c r="E24" i="2"/>
  <c r="D24" i="2"/>
  <c r="C24" i="2"/>
  <c r="I23" i="2"/>
  <c r="C23" i="2"/>
  <c r="E23" i="2" s="1"/>
  <c r="I22" i="2"/>
  <c r="E22" i="2"/>
  <c r="I21" i="2"/>
  <c r="D21" i="2"/>
  <c r="E21" i="2" s="1"/>
  <c r="I20" i="2"/>
  <c r="I19" i="2"/>
  <c r="C19" i="2"/>
  <c r="E19" i="2" s="1"/>
  <c r="H18" i="2"/>
  <c r="I18" i="2" s="1"/>
  <c r="E18" i="2"/>
  <c r="I17" i="2"/>
  <c r="E17" i="2"/>
  <c r="I16" i="2"/>
  <c r="D16" i="2"/>
  <c r="E16" i="2" s="1"/>
  <c r="I15" i="2"/>
  <c r="E15" i="2"/>
  <c r="C15" i="2"/>
  <c r="I14" i="2"/>
  <c r="D14" i="2"/>
  <c r="E14" i="2" s="1"/>
  <c r="I13" i="2"/>
  <c r="C13" i="2"/>
  <c r="E13" i="2" s="1"/>
  <c r="I12" i="2"/>
  <c r="E12" i="2"/>
  <c r="J12" i="2" s="1"/>
  <c r="B13" i="2" s="1"/>
  <c r="I11" i="2"/>
  <c r="E11" i="2"/>
  <c r="I10" i="2"/>
  <c r="E10" i="2"/>
  <c r="J114" i="2" l="1"/>
  <c r="J13" i="2"/>
  <c r="B14" i="2" s="1"/>
  <c r="J14" i="2" s="1"/>
  <c r="B15" i="2" s="1"/>
  <c r="J15" i="2" s="1"/>
  <c r="B16" i="2" s="1"/>
  <c r="J16" i="2" s="1"/>
  <c r="B17" i="2" s="1"/>
  <c r="J17" i="2" s="1"/>
  <c r="B18" i="2" s="1"/>
  <c r="J18" i="2" s="1"/>
  <c r="B19" i="2" s="1"/>
  <c r="J19" i="2" s="1"/>
  <c r="J20" i="2" s="1"/>
  <c r="B21" i="2" s="1"/>
  <c r="J21" i="2" s="1"/>
  <c r="B22" i="2" s="1"/>
  <c r="J22" i="2" s="1"/>
  <c r="B23" i="2" s="1"/>
  <c r="J23" i="2" s="1"/>
  <c r="B24" i="2" s="1"/>
  <c r="J24" i="2" s="1"/>
  <c r="J25" i="2" s="1"/>
  <c r="B26" i="2" s="1"/>
  <c r="J26" i="2" s="1"/>
  <c r="B27" i="2" s="1"/>
  <c r="J27" i="2" s="1"/>
  <c r="J28" i="2" s="1"/>
  <c r="B29" i="2" s="1"/>
  <c r="J29" i="2" s="1"/>
  <c r="B30" i="2" s="1"/>
  <c r="J30" i="2" s="1"/>
  <c r="B31" i="2" s="1"/>
  <c r="J31" i="2" s="1"/>
  <c r="B32" i="2" s="1"/>
  <c r="J32" i="2" s="1"/>
  <c r="B33" i="2" s="1"/>
  <c r="J33" i="2" s="1"/>
  <c r="B34" i="2" s="1"/>
  <c r="J34" i="2" s="1"/>
  <c r="B35" i="2" s="1"/>
  <c r="J35" i="2" s="1"/>
  <c r="B36" i="2" s="1"/>
  <c r="J36" i="2" s="1"/>
  <c r="B37" i="2" s="1"/>
  <c r="J37" i="2" s="1"/>
  <c r="B38" i="2" s="1"/>
  <c r="J38" i="2" s="1"/>
  <c r="J39" i="2" s="1"/>
  <c r="B40" i="2" s="1"/>
  <c r="J40" i="2" s="1"/>
  <c r="B41" i="2" s="1"/>
  <c r="J41" i="2" s="1"/>
  <c r="B42" i="2" s="1"/>
  <c r="J42" i="2" s="1"/>
  <c r="B43" i="2" s="1"/>
  <c r="J43" i="2" s="1"/>
  <c r="B44" i="2" s="1"/>
  <c r="J44" i="2" s="1"/>
  <c r="B45" i="2" s="1"/>
  <c r="J45" i="2" s="1"/>
  <c r="B46" i="2" s="1"/>
  <c r="J46" i="2" s="1"/>
  <c r="B47" i="2" s="1"/>
  <c r="J47" i="2" s="1"/>
  <c r="B48" i="2" s="1"/>
  <c r="J48" i="2" s="1"/>
  <c r="B49" i="2" s="1"/>
  <c r="J49" i="2" s="1"/>
  <c r="B50" i="2" s="1"/>
  <c r="J50" i="2" s="1"/>
  <c r="J51" i="2" s="1"/>
  <c r="B52" i="2" s="1"/>
  <c r="J52" i="2" s="1"/>
  <c r="B53" i="2" s="1"/>
  <c r="J53" i="2" s="1"/>
  <c r="J10" i="2"/>
  <c r="B11" i="2" s="1"/>
  <c r="J11" i="2" s="1"/>
  <c r="J59" i="2"/>
  <c r="B60" i="2" s="1"/>
  <c r="J60" i="2" s="1"/>
  <c r="B61" i="2" s="1"/>
  <c r="J61" i="2" s="1"/>
  <c r="B62" i="2" s="1"/>
  <c r="J62" i="2" s="1"/>
  <c r="B63" i="2" s="1"/>
  <c r="J63" i="2" s="1"/>
  <c r="B64" i="2" s="1"/>
  <c r="J64" i="2" s="1"/>
  <c r="B65" i="2" s="1"/>
  <c r="J65" i="2" s="1"/>
  <c r="B66" i="2" s="1"/>
  <c r="J66" i="2" s="1"/>
  <c r="B67" i="2" s="1"/>
  <c r="J67" i="2" s="1"/>
  <c r="B68" i="2" s="1"/>
  <c r="J68" i="2" s="1"/>
  <c r="B69" i="2" s="1"/>
  <c r="J69" i="2" s="1"/>
  <c r="J70" i="2" s="1"/>
  <c r="B71" i="2" s="1"/>
  <c r="J71" i="2" s="1"/>
  <c r="B72" i="2" s="1"/>
  <c r="J72" i="2" s="1"/>
  <c r="B73" i="2" s="1"/>
  <c r="J73" i="2" s="1"/>
  <c r="B74" i="2" s="1"/>
  <c r="J74" i="2" s="1"/>
  <c r="B75" i="2" s="1"/>
  <c r="J75" i="2" s="1"/>
  <c r="J76" i="2" s="1"/>
  <c r="B77" i="2" s="1"/>
  <c r="J77" i="2" s="1"/>
  <c r="B78" i="2" s="1"/>
  <c r="J78" i="2" s="1"/>
  <c r="B79" i="2" s="1"/>
  <c r="J79" i="2" s="1"/>
  <c r="J80" i="2" s="1"/>
  <c r="B81" i="2" s="1"/>
  <c r="J81" i="2" s="1"/>
  <c r="B82" i="2" s="1"/>
  <c r="J82" i="2" s="1"/>
  <c r="B83" i="2" s="1"/>
  <c r="J83" i="2" s="1"/>
  <c r="J84" i="2" s="1"/>
  <c r="B85" i="2" s="1"/>
  <c r="J85" i="2" s="1"/>
  <c r="B86" i="2" s="1"/>
  <c r="J86" i="2" s="1"/>
  <c r="B87" i="2" s="1"/>
  <c r="J87" i="2" s="1"/>
  <c r="B88" i="2" s="1"/>
  <c r="J88" i="2" s="1"/>
  <c r="B89" i="2" s="1"/>
  <c r="J89" i="2" s="1"/>
  <c r="B90" i="2" s="1"/>
  <c r="J90" i="2" s="1"/>
  <c r="J91" i="2" s="1"/>
  <c r="B92" i="2" s="1"/>
  <c r="J92" i="2" s="1"/>
  <c r="B93" i="2" s="1"/>
  <c r="J93" i="2" s="1"/>
  <c r="B94" i="2" s="1"/>
  <c r="J94" i="2" s="1"/>
  <c r="B95" i="2" s="1"/>
  <c r="J95" i="2" s="1"/>
  <c r="B96" i="2" s="1"/>
  <c r="J96" i="2" s="1"/>
  <c r="B97" i="2" s="1"/>
  <c r="J97" i="2" s="1"/>
  <c r="B98" i="2" s="1"/>
  <c r="J98" i="2" s="1"/>
  <c r="B99" i="2" s="1"/>
  <c r="J99" i="2" s="1"/>
  <c r="B100" i="2" s="1"/>
  <c r="J100" i="2" s="1"/>
  <c r="B101" i="2" s="1"/>
  <c r="J101" i="2" s="1"/>
  <c r="B102" i="2" s="1"/>
  <c r="J102" i="2" s="1"/>
  <c r="B103" i="2" s="1"/>
  <c r="J103" i="2" s="1"/>
  <c r="B104" i="2" s="1"/>
  <c r="J104" i="2" s="1"/>
  <c r="B105" i="2" s="1"/>
  <c r="J105" i="2" s="1"/>
  <c r="B106" i="2" s="1"/>
  <c r="J106" i="2" s="1"/>
  <c r="B107" i="2" s="1"/>
  <c r="J107" i="2" s="1"/>
  <c r="B108" i="2" s="1"/>
  <c r="J108" i="2" s="1"/>
  <c r="B109" i="2" s="1"/>
  <c r="J109" i="2" s="1"/>
  <c r="B110" i="2" s="1"/>
  <c r="J110" i="2" s="1"/>
  <c r="I116" i="2"/>
  <c r="E116" i="2"/>
  <c r="C116" i="2"/>
  <c r="D116" i="2"/>
  <c r="H116" i="2"/>
  <c r="B55" i="2" l="1"/>
  <c r="J55" i="2" s="1"/>
  <c r="B56" i="2" s="1"/>
  <c r="J56" i="2" s="1"/>
  <c r="J57" i="2" s="1"/>
  <c r="J54" i="2"/>
</calcChain>
</file>

<file path=xl/sharedStrings.xml><?xml version="1.0" encoding="utf-8"?>
<sst xmlns="http://schemas.openxmlformats.org/spreadsheetml/2006/main" count="136" uniqueCount="136">
  <si>
    <t>REPORTE DEL FIDEICOMISO</t>
  </si>
  <si>
    <t>12 UNIVERSIDAD DE GUANAJUATO</t>
  </si>
  <si>
    <t>Número de cuenta: 02001798-001 PROMEP (PRODEP)</t>
  </si>
  <si>
    <t xml:space="preserve">Nombre de la Institución Bancaria: Banco Santander (Mèxico), S.A. </t>
  </si>
  <si>
    <t>MES</t>
  </si>
  <si>
    <t>ASIGNADO</t>
  </si>
  <si>
    <t>RENDIMIENTO BRUTO</t>
  </si>
  <si>
    <t>COSTO DEL FIDEICOMISO</t>
  </si>
  <si>
    <t>RENDIMIENTO NETO</t>
  </si>
  <si>
    <t>PAGO A FIDEICOMISARIOS</t>
  </si>
  <si>
    <t>TRASPASOS</t>
  </si>
  <si>
    <t>REINTEGROS</t>
  </si>
  <si>
    <t>EJERCIDO NETO</t>
  </si>
  <si>
    <t>SALDO</t>
  </si>
  <si>
    <t>( 1 )</t>
  </si>
  <si>
    <t>( 2 )</t>
  </si>
  <si>
    <t>( 3 )</t>
  </si>
  <si>
    <t>4 = 2-3</t>
  </si>
  <si>
    <t>( 5 )</t>
  </si>
  <si>
    <t>(6)</t>
  </si>
  <si>
    <t>( 7 )</t>
  </si>
  <si>
    <t>8 = 5+6-7</t>
  </si>
  <si>
    <t>9 = 1+4-8</t>
  </si>
  <si>
    <t>JUL - 2010</t>
  </si>
  <si>
    <t>AGO - 2010</t>
  </si>
  <si>
    <t>SEP - 2010</t>
  </si>
  <si>
    <t>OCT - 2010</t>
  </si>
  <si>
    <t>NOV - 2010</t>
  </si>
  <si>
    <t>DIC - 2010</t>
  </si>
  <si>
    <t>ENE - 2011</t>
  </si>
  <si>
    <t>FEB - 2011</t>
  </si>
  <si>
    <t>MAR - 2011</t>
  </si>
  <si>
    <t>ABR - 2011</t>
  </si>
  <si>
    <t>ASIGNADO ABRIL-MAY 2011</t>
  </si>
  <si>
    <t>MAY - 2011</t>
  </si>
  <si>
    <t>JUN - 2011 TRASP. CONT. 02001798-005</t>
  </si>
  <si>
    <t>JUL- 2011</t>
  </si>
  <si>
    <t>AGO - 2011</t>
  </si>
  <si>
    <t>ASIGNADO SEP-2011</t>
  </si>
  <si>
    <t>SEP - 2011</t>
  </si>
  <si>
    <t>OCT - 2011</t>
  </si>
  <si>
    <t>TRASP. DE SUBCONTRATOS</t>
  </si>
  <si>
    <t>NOV - 2011</t>
  </si>
  <si>
    <t>DIC - 2011</t>
  </si>
  <si>
    <t>ENE - 2012</t>
  </si>
  <si>
    <t>FEB - 2012</t>
  </si>
  <si>
    <t>MAR - 2012</t>
  </si>
  <si>
    <t>ABR - 2012</t>
  </si>
  <si>
    <t>MAY - 2012</t>
  </si>
  <si>
    <t>JUN- 2012</t>
  </si>
  <si>
    <t>JUL- 2012</t>
  </si>
  <si>
    <t>AGO - 2012</t>
  </si>
  <si>
    <t>TRASP SEP-2012 02001798-002</t>
  </si>
  <si>
    <t>SEP - 2012</t>
  </si>
  <si>
    <t>OCT - 2012</t>
  </si>
  <si>
    <t>NOV - 2012</t>
  </si>
  <si>
    <t>DIC - 2012</t>
  </si>
  <si>
    <t>ENE - 2013</t>
  </si>
  <si>
    <t>FEB - 2013</t>
  </si>
  <si>
    <t>MAR - 2013</t>
  </si>
  <si>
    <t>ABR - 2013</t>
  </si>
  <si>
    <t>MAY - 2013</t>
  </si>
  <si>
    <t>JUN- 2013</t>
  </si>
  <si>
    <t>JUL- 2013</t>
  </si>
  <si>
    <t>APORTACIÓN AGO-2013</t>
  </si>
  <si>
    <t>AGO - 2013</t>
  </si>
  <si>
    <t>SEP- 2013</t>
  </si>
  <si>
    <t>APORTACIÓN OCT-2013</t>
  </si>
  <si>
    <t>OCT - 2013</t>
  </si>
  <si>
    <t>NOV - 2013</t>
  </si>
  <si>
    <t>APORTACIÓN DIC-2013</t>
  </si>
  <si>
    <t>DIC - 2013</t>
  </si>
  <si>
    <t>ENE - 2014</t>
  </si>
  <si>
    <t>FEB - 2014</t>
  </si>
  <si>
    <t>MAR - 2014</t>
  </si>
  <si>
    <t>ABR - 2014</t>
  </si>
  <si>
    <t>MAY - 2014</t>
  </si>
  <si>
    <t>JUN- 2014</t>
  </si>
  <si>
    <t>JUL- 2014</t>
  </si>
  <si>
    <t>AGO - 2014</t>
  </si>
  <si>
    <t>SEP- 2014</t>
  </si>
  <si>
    <t>OCT - 2014</t>
  </si>
  <si>
    <t>NOV - 2014</t>
  </si>
  <si>
    <t>APORTACIÓN DIC-2014</t>
  </si>
  <si>
    <t>DIC - 2014</t>
  </si>
  <si>
    <t>ENE - 2015</t>
  </si>
  <si>
    <t>FEB - 2015</t>
  </si>
  <si>
    <t>MAR - 2015</t>
  </si>
  <si>
    <t>ABR - 2015</t>
  </si>
  <si>
    <t>MAY - 2015 APORT OCT 2014</t>
  </si>
  <si>
    <t>MAY - 2015</t>
  </si>
  <si>
    <t>JUN - 2015</t>
  </si>
  <si>
    <t>JUL - 2015</t>
  </si>
  <si>
    <t xml:space="preserve">AGO - 2015 APORT </t>
  </si>
  <si>
    <t>AGO - 2015</t>
  </si>
  <si>
    <t>SEP - 2015</t>
  </si>
  <si>
    <t>OCT - 2015</t>
  </si>
  <si>
    <t xml:space="preserve">NOV - 2015 APORT </t>
  </si>
  <si>
    <t>NOV - 2015</t>
  </si>
  <si>
    <t>DIC - 2015</t>
  </si>
  <si>
    <t>ENE - 2016</t>
  </si>
  <si>
    <t>FEB - 2016</t>
  </si>
  <si>
    <t>MAR - 2016</t>
  </si>
  <si>
    <t>ABR - 2016</t>
  </si>
  <si>
    <t xml:space="preserve">MAY - 2016 APORT </t>
  </si>
  <si>
    <t>MAY - 2016</t>
  </si>
  <si>
    <t>JUN - 2016</t>
  </si>
  <si>
    <t>JUL - 2016</t>
  </si>
  <si>
    <t>AGO - 2016</t>
  </si>
  <si>
    <t>SEP - 2016</t>
  </si>
  <si>
    <t>OCT - 2016</t>
  </si>
  <si>
    <t>NOV - 2016</t>
  </si>
  <si>
    <t>DIC - 2016</t>
  </si>
  <si>
    <t>ENE - 2017</t>
  </si>
  <si>
    <t>FEB - 2017</t>
  </si>
  <si>
    <t>MAR - 2017</t>
  </si>
  <si>
    <t>ABR - 2017</t>
  </si>
  <si>
    <t>MAY - 2017</t>
  </si>
  <si>
    <t>JUN - 2017</t>
  </si>
  <si>
    <t>JUL - 2017</t>
  </si>
  <si>
    <t>AGO - 2017</t>
  </si>
  <si>
    <t>SEP - 2017</t>
  </si>
  <si>
    <t>OCT - 2017</t>
  </si>
  <si>
    <t>NOV - 2017</t>
  </si>
  <si>
    <t>DIC - 2017</t>
  </si>
  <si>
    <t>TOTAL</t>
  </si>
  <si>
    <t>DR. MAURO NAPSUCIALE MENDIVIL</t>
  </si>
  <si>
    <t xml:space="preserve">DR. LUIS FELIPE GUERRERO AGRIPINO
DR. LUIS FELIPE GUERRERO AGRIPINO
</t>
  </si>
  <si>
    <t xml:space="preserve">RESPONSABLE INSTITUCIONAL </t>
  </si>
  <si>
    <t>RECTOR GENERAL</t>
  </si>
  <si>
    <t>Ejercicio: 2010-2018</t>
  </si>
  <si>
    <t>Fecha de actualización :  31 de Marzo de 2018</t>
  </si>
  <si>
    <t>RENDIMIENTO Y RECURSOS EJERCIDOS SEGÚN ESTADOS DE CUENTA DEL FIDEICOMISO CON CORTE AL:  31 DE MARZO DE 2018.</t>
  </si>
  <si>
    <t>ENE - 2018</t>
  </si>
  <si>
    <t>FEB - 2018</t>
  </si>
  <si>
    <t>MAR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</si>
</sst>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#,##0.00"/>
    <numFmt numFmtId="165" formatCode="_(* #,##0.00_);_(* \(#,##0.00\);_(* &quot;-&quot;??_);_(@_)"/>
    <numFmt numFmtId="166" formatCode="#,##0.00_ ;[Red]\-#,##0.00\ 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1" fillId="0" borderId="0" xfId="1"/>
    <xf numFmtId="0" fontId="1" fillId="0" borderId="6" xfId="1" applyFont="1" applyBorder="1" applyAlignment="1">
      <alignment horizontal="centerContinuous" vertical="center"/>
    </xf>
    <xf numFmtId="0" fontId="1" fillId="0" borderId="7" xfId="1" applyFont="1" applyBorder="1" applyAlignment="1">
      <alignment vertical="center"/>
    </xf>
    <xf numFmtId="0" fontId="2" fillId="0" borderId="8" xfId="1" applyFont="1" applyBorder="1" applyAlignment="1">
      <alignment horizontal="right" vertical="center"/>
    </xf>
    <xf numFmtId="0" fontId="2" fillId="0" borderId="0" xfId="1" applyFont="1" applyFill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vertical="center"/>
    </xf>
    <xf numFmtId="0" fontId="1" fillId="0" borderId="0" xfId="1" applyFont="1" applyBorder="1" applyAlignment="1">
      <alignment vertical="center"/>
    </xf>
    <xf numFmtId="0" fontId="1" fillId="0" borderId="0" xfId="1" applyAlignment="1"/>
    <xf numFmtId="164" fontId="1" fillId="0" borderId="9" xfId="1" applyNumberFormat="1" applyBorder="1"/>
    <xf numFmtId="2" fontId="1" fillId="0" borderId="9" xfId="2" applyNumberFormat="1" applyFont="1" applyBorder="1"/>
    <xf numFmtId="2" fontId="1" fillId="0" borderId="9" xfId="1" applyNumberFormat="1" applyBorder="1"/>
    <xf numFmtId="4" fontId="4" fillId="0" borderId="0" xfId="1" applyNumberFormat="1" applyFont="1" applyBorder="1"/>
    <xf numFmtId="4" fontId="1" fillId="0" borderId="9" xfId="2" applyNumberFormat="1" applyFont="1" applyBorder="1"/>
    <xf numFmtId="4" fontId="1" fillId="0" borderId="9" xfId="1" applyNumberFormat="1" applyBorder="1"/>
    <xf numFmtId="4" fontId="0" fillId="0" borderId="9" xfId="2" applyNumberFormat="1" applyFont="1" applyBorder="1"/>
    <xf numFmtId="0" fontId="1" fillId="0" borderId="0" xfId="1" applyBorder="1"/>
    <xf numFmtId="0" fontId="1" fillId="0" borderId="0" xfId="1" applyBorder="1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164" fontId="2" fillId="0" borderId="10" xfId="1" applyNumberFormat="1" applyFont="1" applyBorder="1"/>
    <xf numFmtId="166" fontId="2" fillId="0" borderId="10" xfId="1" applyNumberFormat="1" applyFont="1" applyBorder="1"/>
    <xf numFmtId="164" fontId="2" fillId="0" borderId="0" xfId="1" applyNumberFormat="1" applyFont="1" applyBorder="1"/>
    <xf numFmtId="0" fontId="5" fillId="0" borderId="0" xfId="1" applyFont="1"/>
    <xf numFmtId="164" fontId="5" fillId="0" borderId="0" xfId="1" applyNumberFormat="1" applyFont="1" applyAlignment="1">
      <alignment horizontal="center" vertical="center"/>
    </xf>
    <xf numFmtId="0" fontId="1" fillId="0" borderId="0" xfId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11" xfId="1" applyBorder="1" applyAlignment="1">
      <alignment horizontal="center"/>
    </xf>
    <xf numFmtId="0" fontId="2" fillId="0" borderId="0" xfId="1" applyFont="1" applyAlignment="1"/>
    <xf numFmtId="0" fontId="2" fillId="2" borderId="9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1" fillId="0" borderId="11" xfId="1" applyBorder="1" applyAlignment="1">
      <alignment horizontal="center"/>
    </xf>
    <xf numFmtId="0" fontId="2" fillId="0" borderId="0" xfId="1" applyFont="1" applyAlignment="1">
      <alignment horizontal="center" wrapText="1"/>
    </xf>
    <xf numFmtId="49" fontId="2" fillId="2" borderId="12" xfId="1" applyNumberFormat="1" applyFont="1" applyFill="1" applyBorder="1" applyAlignment="1">
      <alignment horizontal="center" vertical="center" wrapText="1"/>
    </xf>
    <xf numFmtId="15" fontId="1" fillId="0" borderId="13" xfId="1" quotePrefix="1" applyNumberFormat="1" applyFont="1" applyBorder="1"/>
    <xf numFmtId="164" fontId="1" fillId="0" borderId="14" xfId="1" applyNumberFormat="1" applyBorder="1"/>
    <xf numFmtId="2" fontId="1" fillId="0" borderId="14" xfId="2" applyNumberFormat="1" applyFont="1" applyBorder="1"/>
    <xf numFmtId="2" fontId="1" fillId="0" borderId="14" xfId="1" applyNumberFormat="1" applyBorder="1"/>
    <xf numFmtId="164" fontId="1" fillId="0" borderId="15" xfId="1" applyNumberFormat="1" applyBorder="1"/>
    <xf numFmtId="15" fontId="1" fillId="0" borderId="16" xfId="1" quotePrefix="1" applyNumberFormat="1" applyFont="1" applyBorder="1"/>
    <xf numFmtId="164" fontId="1" fillId="0" borderId="17" xfId="1" applyNumberFormat="1" applyBorder="1"/>
    <xf numFmtId="4" fontId="1" fillId="0" borderId="17" xfId="1" applyNumberFormat="1" applyBorder="1"/>
    <xf numFmtId="15" fontId="1" fillId="0" borderId="16" xfId="1" applyNumberFormat="1" applyFont="1" applyBorder="1"/>
    <xf numFmtId="0" fontId="1" fillId="0" borderId="16" xfId="1" quotePrefix="1" applyNumberFormat="1" applyFont="1" applyBorder="1" applyAlignment="1">
      <alignment vertical="center" wrapText="1"/>
    </xf>
    <xf numFmtId="15" fontId="1" fillId="0" borderId="18" xfId="1" quotePrefix="1" applyNumberFormat="1" applyFont="1" applyBorder="1"/>
    <xf numFmtId="164" fontId="1" fillId="0" borderId="19" xfId="1" applyNumberFormat="1" applyBorder="1"/>
    <xf numFmtId="4" fontId="0" fillId="0" borderId="19" xfId="2" applyNumberFormat="1" applyFont="1" applyBorder="1"/>
    <xf numFmtId="4" fontId="1" fillId="0" borderId="19" xfId="2" applyNumberFormat="1" applyFont="1" applyBorder="1"/>
    <xf numFmtId="4" fontId="1" fillId="0" borderId="19" xfId="1" applyNumberFormat="1" applyBorder="1"/>
    <xf numFmtId="4" fontId="1" fillId="0" borderId="20" xfId="1" applyNumberFormat="1" applyBorder="1"/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0</xdr:rowOff>
    </xdr:from>
    <xdr:to>
      <xdr:col>1</xdr:col>
      <xdr:colOff>381000</xdr:colOff>
      <xdr:row>7</xdr:row>
      <xdr:rowOff>0</xdr:rowOff>
    </xdr:to>
    <xdr:pic>
      <xdr:nvPicPr>
        <xdr:cNvPr id="2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5525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276225</xdr:colOff>
      <xdr:row>0</xdr:row>
      <xdr:rowOff>38100</xdr:rowOff>
    </xdr:from>
    <xdr:to>
      <xdr:col>0</xdr:col>
      <xdr:colOff>1247775</xdr:colOff>
      <xdr:row>2</xdr:row>
      <xdr:rowOff>419100</xdr:rowOff>
    </xdr:to>
    <xdr:pic>
      <xdr:nvPicPr>
        <xdr:cNvPr id="3" name="3 Imagen" descr="ESCUDO_oficios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8100"/>
          <a:ext cx="9715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S4\SYS\SEGUP\OSCAR_D\TRABAJO\12CCG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BAJO/12CCG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$NDS\.DGES4_SYS3.dges\TRABAJO\12CCG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$NDS\.DGES4_SYS3.dges\TRABAJO\FOMES9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$NDS\.DGES4_SYS3.dges\SEGUP\OSCAR_D\TRABAJO\12CCG-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GUP\OSCAR_D\TRABAJO\12CCG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CCG94"/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4-32-08"/>
      <sheetName val="FOMES94"/>
      <sheetName val="94-01-09"/>
      <sheetName val="94-01-09 (2)"/>
      <sheetName val="Falt-Ags-Fom'94"/>
      <sheetName val="94-02-07"/>
      <sheetName val="94-02-07 (2)"/>
      <sheetName val="94-03-04"/>
      <sheetName val="94-04-04"/>
      <sheetName val="94-05-02"/>
      <sheetName val="94-06-03"/>
      <sheetName val="94-06-03 (2)"/>
      <sheetName val="94-07-06"/>
      <sheetName val="94-07-06 (2)"/>
      <sheetName val="94-07-06 (3)"/>
      <sheetName val="94-08-07"/>
      <sheetName val="FF-94-08-07"/>
      <sheetName val="FF-94-08-07 (2)"/>
      <sheetName val="94-09-08"/>
      <sheetName val="94-09-08 (2)"/>
      <sheetName val="94-10-07"/>
      <sheetName val="CD.JUAREZ"/>
      <sheetName val="94-11-05"/>
      <sheetName val="94-12-08"/>
      <sheetName val="94-13-04"/>
      <sheetName val="94-14-06"/>
      <sheetName val="94-15-10"/>
      <sheetName val="GUADALAJARA"/>
      <sheetName val="94-16-07"/>
      <sheetName val="94-17-05"/>
      <sheetName val="94-18-05"/>
      <sheetName val="94-18-05 (2)"/>
      <sheetName val="94-19-04"/>
      <sheetName val="94-20-06"/>
      <sheetName val="94-21-06"/>
      <sheetName val="94-21-06-A"/>
      <sheetName val="94-22-07"/>
      <sheetName val="94-22-07 (2)"/>
      <sheetName val="94-24-09"/>
      <sheetName val="SLP"/>
      <sheetName val="94-24-09 (2)"/>
      <sheetName val="FFSLP94"/>
      <sheetName val="SLPRES94"/>
      <sheetName val="94-25-03"/>
      <sheetName val="94-26-07"/>
      <sheetName val="94-27-04"/>
      <sheetName val="94-28-07"/>
      <sheetName val="94-29-04"/>
      <sheetName val="94-30-04"/>
      <sheetName val="94-31-03"/>
      <sheetName val="94-04-04 (2)"/>
      <sheetName val="FalYuc95"/>
      <sheetName val="94-32-08 (2)"/>
      <sheetName val="94-33-06"/>
      <sheetName val="94-34-05"/>
      <sheetName val="94-35-05"/>
      <sheetName val="94-36-03"/>
      <sheetName val="94-39-04"/>
      <sheetName val="94-40-03"/>
      <sheetName val="94-41-08"/>
      <sheetName val="94-42-06"/>
      <sheetName val="94-43-03"/>
      <sheetName val="94-44-03"/>
      <sheetName val="94-45-03"/>
      <sheetName val="94-46-04"/>
      <sheetName val="94-47-06"/>
      <sheetName val="SON94CL"/>
      <sheetName val="FOMES-27-94"/>
      <sheetName val="94-23-05"/>
      <sheetName val="96-61-05"/>
      <sheetName val="Hoja1"/>
      <sheetName val="Hoja2"/>
      <sheetName val="Hoja3"/>
      <sheetName val="94-02-07 "/>
      <sheetName val="COMPARATIVO-PROMEP96"/>
      <sheetName val="ANEXO&quot;B&quot; 9701PROM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 refreshError="1"/>
      <sheetData sheetId="71" refreshError="1"/>
      <sheetData sheetId="72" refreshError="1"/>
      <sheetData sheetId="73"/>
      <sheetData sheetId="74"/>
      <sheetData sheetId="7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"/>
  <sheetViews>
    <sheetView showGridLines="0" tabSelected="1" zoomScaleNormal="100" workbookViewId="0">
      <pane xSplit="9" ySplit="8" topLeftCell="J108" activePane="bottomRight" state="frozen"/>
      <selection pane="topRight" activeCell="J1" sqref="J1"/>
      <selection pane="bottomLeft" activeCell="A9" sqref="A9"/>
      <selection pane="bottomRight" activeCell="E119" sqref="E119"/>
    </sheetView>
  </sheetViews>
  <sheetFormatPr baseColWidth="10" defaultRowHeight="12.75" x14ac:dyDescent="0.2"/>
  <cols>
    <col min="1" max="1" width="28.140625" style="4" customWidth="1"/>
    <col min="2" max="4" width="15.7109375" style="4" customWidth="1"/>
    <col min="5" max="5" width="14.42578125" style="4" customWidth="1"/>
    <col min="6" max="6" width="17.7109375" style="4" customWidth="1"/>
    <col min="7" max="7" width="15.28515625" style="4" customWidth="1"/>
    <col min="8" max="8" width="14.140625" style="4" customWidth="1"/>
    <col min="9" max="9" width="15" style="4" customWidth="1"/>
    <col min="10" max="10" width="18.5703125" style="4" customWidth="1"/>
    <col min="11" max="11" width="17.28515625" style="4" bestFit="1" customWidth="1"/>
    <col min="12" max="12" width="12.7109375" style="4" bestFit="1" customWidth="1"/>
    <col min="13" max="256" width="11.42578125" style="4"/>
    <col min="257" max="257" width="28.140625" style="4" customWidth="1"/>
    <col min="258" max="260" width="15.7109375" style="4" customWidth="1"/>
    <col min="261" max="261" width="14.42578125" style="4" customWidth="1"/>
    <col min="262" max="262" width="17.7109375" style="4" customWidth="1"/>
    <col min="263" max="263" width="15.28515625" style="4" customWidth="1"/>
    <col min="264" max="264" width="14.140625" style="4" customWidth="1"/>
    <col min="265" max="265" width="15" style="4" customWidth="1"/>
    <col min="266" max="266" width="18.5703125" style="4" customWidth="1"/>
    <col min="267" max="267" width="17.28515625" style="4" bestFit="1" customWidth="1"/>
    <col min="268" max="268" width="12.7109375" style="4" bestFit="1" customWidth="1"/>
    <col min="269" max="512" width="11.42578125" style="4"/>
    <col min="513" max="513" width="28.140625" style="4" customWidth="1"/>
    <col min="514" max="516" width="15.7109375" style="4" customWidth="1"/>
    <col min="517" max="517" width="14.42578125" style="4" customWidth="1"/>
    <col min="518" max="518" width="17.7109375" style="4" customWidth="1"/>
    <col min="519" max="519" width="15.28515625" style="4" customWidth="1"/>
    <col min="520" max="520" width="14.140625" style="4" customWidth="1"/>
    <col min="521" max="521" width="15" style="4" customWidth="1"/>
    <col min="522" max="522" width="18.5703125" style="4" customWidth="1"/>
    <col min="523" max="523" width="17.28515625" style="4" bestFit="1" customWidth="1"/>
    <col min="524" max="524" width="12.7109375" style="4" bestFit="1" customWidth="1"/>
    <col min="525" max="768" width="11.42578125" style="4"/>
    <col min="769" max="769" width="28.140625" style="4" customWidth="1"/>
    <col min="770" max="772" width="15.7109375" style="4" customWidth="1"/>
    <col min="773" max="773" width="14.42578125" style="4" customWidth="1"/>
    <col min="774" max="774" width="17.7109375" style="4" customWidth="1"/>
    <col min="775" max="775" width="15.28515625" style="4" customWidth="1"/>
    <col min="776" max="776" width="14.140625" style="4" customWidth="1"/>
    <col min="777" max="777" width="15" style="4" customWidth="1"/>
    <col min="778" max="778" width="18.5703125" style="4" customWidth="1"/>
    <col min="779" max="779" width="17.28515625" style="4" bestFit="1" customWidth="1"/>
    <col min="780" max="780" width="12.7109375" style="4" bestFit="1" customWidth="1"/>
    <col min="781" max="1024" width="11.42578125" style="4"/>
    <col min="1025" max="1025" width="28.140625" style="4" customWidth="1"/>
    <col min="1026" max="1028" width="15.7109375" style="4" customWidth="1"/>
    <col min="1029" max="1029" width="14.42578125" style="4" customWidth="1"/>
    <col min="1030" max="1030" width="17.7109375" style="4" customWidth="1"/>
    <col min="1031" max="1031" width="15.28515625" style="4" customWidth="1"/>
    <col min="1032" max="1032" width="14.140625" style="4" customWidth="1"/>
    <col min="1033" max="1033" width="15" style="4" customWidth="1"/>
    <col min="1034" max="1034" width="18.5703125" style="4" customWidth="1"/>
    <col min="1035" max="1035" width="17.28515625" style="4" bestFit="1" customWidth="1"/>
    <col min="1036" max="1036" width="12.7109375" style="4" bestFit="1" customWidth="1"/>
    <col min="1037" max="1280" width="11.42578125" style="4"/>
    <col min="1281" max="1281" width="28.140625" style="4" customWidth="1"/>
    <col min="1282" max="1284" width="15.7109375" style="4" customWidth="1"/>
    <col min="1285" max="1285" width="14.42578125" style="4" customWidth="1"/>
    <col min="1286" max="1286" width="17.7109375" style="4" customWidth="1"/>
    <col min="1287" max="1287" width="15.28515625" style="4" customWidth="1"/>
    <col min="1288" max="1288" width="14.140625" style="4" customWidth="1"/>
    <col min="1289" max="1289" width="15" style="4" customWidth="1"/>
    <col min="1290" max="1290" width="18.5703125" style="4" customWidth="1"/>
    <col min="1291" max="1291" width="17.28515625" style="4" bestFit="1" customWidth="1"/>
    <col min="1292" max="1292" width="12.7109375" style="4" bestFit="1" customWidth="1"/>
    <col min="1293" max="1536" width="11.42578125" style="4"/>
    <col min="1537" max="1537" width="28.140625" style="4" customWidth="1"/>
    <col min="1538" max="1540" width="15.7109375" style="4" customWidth="1"/>
    <col min="1541" max="1541" width="14.42578125" style="4" customWidth="1"/>
    <col min="1542" max="1542" width="17.7109375" style="4" customWidth="1"/>
    <col min="1543" max="1543" width="15.28515625" style="4" customWidth="1"/>
    <col min="1544" max="1544" width="14.140625" style="4" customWidth="1"/>
    <col min="1545" max="1545" width="15" style="4" customWidth="1"/>
    <col min="1546" max="1546" width="18.5703125" style="4" customWidth="1"/>
    <col min="1547" max="1547" width="17.28515625" style="4" bestFit="1" customWidth="1"/>
    <col min="1548" max="1548" width="12.7109375" style="4" bestFit="1" customWidth="1"/>
    <col min="1549" max="1792" width="11.42578125" style="4"/>
    <col min="1793" max="1793" width="28.140625" style="4" customWidth="1"/>
    <col min="1794" max="1796" width="15.7109375" style="4" customWidth="1"/>
    <col min="1797" max="1797" width="14.42578125" style="4" customWidth="1"/>
    <col min="1798" max="1798" width="17.7109375" style="4" customWidth="1"/>
    <col min="1799" max="1799" width="15.28515625" style="4" customWidth="1"/>
    <col min="1800" max="1800" width="14.140625" style="4" customWidth="1"/>
    <col min="1801" max="1801" width="15" style="4" customWidth="1"/>
    <col min="1802" max="1802" width="18.5703125" style="4" customWidth="1"/>
    <col min="1803" max="1803" width="17.28515625" style="4" bestFit="1" customWidth="1"/>
    <col min="1804" max="1804" width="12.7109375" style="4" bestFit="1" customWidth="1"/>
    <col min="1805" max="2048" width="11.42578125" style="4"/>
    <col min="2049" max="2049" width="28.140625" style="4" customWidth="1"/>
    <col min="2050" max="2052" width="15.7109375" style="4" customWidth="1"/>
    <col min="2053" max="2053" width="14.42578125" style="4" customWidth="1"/>
    <col min="2054" max="2054" width="17.7109375" style="4" customWidth="1"/>
    <col min="2055" max="2055" width="15.28515625" style="4" customWidth="1"/>
    <col min="2056" max="2056" width="14.140625" style="4" customWidth="1"/>
    <col min="2057" max="2057" width="15" style="4" customWidth="1"/>
    <col min="2058" max="2058" width="18.5703125" style="4" customWidth="1"/>
    <col min="2059" max="2059" width="17.28515625" style="4" bestFit="1" customWidth="1"/>
    <col min="2060" max="2060" width="12.7109375" style="4" bestFit="1" customWidth="1"/>
    <col min="2061" max="2304" width="11.42578125" style="4"/>
    <col min="2305" max="2305" width="28.140625" style="4" customWidth="1"/>
    <col min="2306" max="2308" width="15.7109375" style="4" customWidth="1"/>
    <col min="2309" max="2309" width="14.42578125" style="4" customWidth="1"/>
    <col min="2310" max="2310" width="17.7109375" style="4" customWidth="1"/>
    <col min="2311" max="2311" width="15.28515625" style="4" customWidth="1"/>
    <col min="2312" max="2312" width="14.140625" style="4" customWidth="1"/>
    <col min="2313" max="2313" width="15" style="4" customWidth="1"/>
    <col min="2314" max="2314" width="18.5703125" style="4" customWidth="1"/>
    <col min="2315" max="2315" width="17.28515625" style="4" bestFit="1" customWidth="1"/>
    <col min="2316" max="2316" width="12.7109375" style="4" bestFit="1" customWidth="1"/>
    <col min="2317" max="2560" width="11.42578125" style="4"/>
    <col min="2561" max="2561" width="28.140625" style="4" customWidth="1"/>
    <col min="2562" max="2564" width="15.7109375" style="4" customWidth="1"/>
    <col min="2565" max="2565" width="14.42578125" style="4" customWidth="1"/>
    <col min="2566" max="2566" width="17.7109375" style="4" customWidth="1"/>
    <col min="2567" max="2567" width="15.28515625" style="4" customWidth="1"/>
    <col min="2568" max="2568" width="14.140625" style="4" customWidth="1"/>
    <col min="2569" max="2569" width="15" style="4" customWidth="1"/>
    <col min="2570" max="2570" width="18.5703125" style="4" customWidth="1"/>
    <col min="2571" max="2571" width="17.28515625" style="4" bestFit="1" customWidth="1"/>
    <col min="2572" max="2572" width="12.7109375" style="4" bestFit="1" customWidth="1"/>
    <col min="2573" max="2816" width="11.42578125" style="4"/>
    <col min="2817" max="2817" width="28.140625" style="4" customWidth="1"/>
    <col min="2818" max="2820" width="15.7109375" style="4" customWidth="1"/>
    <col min="2821" max="2821" width="14.42578125" style="4" customWidth="1"/>
    <col min="2822" max="2822" width="17.7109375" style="4" customWidth="1"/>
    <col min="2823" max="2823" width="15.28515625" style="4" customWidth="1"/>
    <col min="2824" max="2824" width="14.140625" style="4" customWidth="1"/>
    <col min="2825" max="2825" width="15" style="4" customWidth="1"/>
    <col min="2826" max="2826" width="18.5703125" style="4" customWidth="1"/>
    <col min="2827" max="2827" width="17.28515625" style="4" bestFit="1" customWidth="1"/>
    <col min="2828" max="2828" width="12.7109375" style="4" bestFit="1" customWidth="1"/>
    <col min="2829" max="3072" width="11.42578125" style="4"/>
    <col min="3073" max="3073" width="28.140625" style="4" customWidth="1"/>
    <col min="3074" max="3076" width="15.7109375" style="4" customWidth="1"/>
    <col min="3077" max="3077" width="14.42578125" style="4" customWidth="1"/>
    <col min="3078" max="3078" width="17.7109375" style="4" customWidth="1"/>
    <col min="3079" max="3079" width="15.28515625" style="4" customWidth="1"/>
    <col min="3080" max="3080" width="14.140625" style="4" customWidth="1"/>
    <col min="3081" max="3081" width="15" style="4" customWidth="1"/>
    <col min="3082" max="3082" width="18.5703125" style="4" customWidth="1"/>
    <col min="3083" max="3083" width="17.28515625" style="4" bestFit="1" customWidth="1"/>
    <col min="3084" max="3084" width="12.7109375" style="4" bestFit="1" customWidth="1"/>
    <col min="3085" max="3328" width="11.42578125" style="4"/>
    <col min="3329" max="3329" width="28.140625" style="4" customWidth="1"/>
    <col min="3330" max="3332" width="15.7109375" style="4" customWidth="1"/>
    <col min="3333" max="3333" width="14.42578125" style="4" customWidth="1"/>
    <col min="3334" max="3334" width="17.7109375" style="4" customWidth="1"/>
    <col min="3335" max="3335" width="15.28515625" style="4" customWidth="1"/>
    <col min="3336" max="3336" width="14.140625" style="4" customWidth="1"/>
    <col min="3337" max="3337" width="15" style="4" customWidth="1"/>
    <col min="3338" max="3338" width="18.5703125" style="4" customWidth="1"/>
    <col min="3339" max="3339" width="17.28515625" style="4" bestFit="1" customWidth="1"/>
    <col min="3340" max="3340" width="12.7109375" style="4" bestFit="1" customWidth="1"/>
    <col min="3341" max="3584" width="11.42578125" style="4"/>
    <col min="3585" max="3585" width="28.140625" style="4" customWidth="1"/>
    <col min="3586" max="3588" width="15.7109375" style="4" customWidth="1"/>
    <col min="3589" max="3589" width="14.42578125" style="4" customWidth="1"/>
    <col min="3590" max="3590" width="17.7109375" style="4" customWidth="1"/>
    <col min="3591" max="3591" width="15.28515625" style="4" customWidth="1"/>
    <col min="3592" max="3592" width="14.140625" style="4" customWidth="1"/>
    <col min="3593" max="3593" width="15" style="4" customWidth="1"/>
    <col min="3594" max="3594" width="18.5703125" style="4" customWidth="1"/>
    <col min="3595" max="3595" width="17.28515625" style="4" bestFit="1" customWidth="1"/>
    <col min="3596" max="3596" width="12.7109375" style="4" bestFit="1" customWidth="1"/>
    <col min="3597" max="3840" width="11.42578125" style="4"/>
    <col min="3841" max="3841" width="28.140625" style="4" customWidth="1"/>
    <col min="3842" max="3844" width="15.7109375" style="4" customWidth="1"/>
    <col min="3845" max="3845" width="14.42578125" style="4" customWidth="1"/>
    <col min="3846" max="3846" width="17.7109375" style="4" customWidth="1"/>
    <col min="3847" max="3847" width="15.28515625" style="4" customWidth="1"/>
    <col min="3848" max="3848" width="14.140625" style="4" customWidth="1"/>
    <col min="3849" max="3849" width="15" style="4" customWidth="1"/>
    <col min="3850" max="3850" width="18.5703125" style="4" customWidth="1"/>
    <col min="3851" max="3851" width="17.28515625" style="4" bestFit="1" customWidth="1"/>
    <col min="3852" max="3852" width="12.7109375" style="4" bestFit="1" customWidth="1"/>
    <col min="3853" max="4096" width="11.42578125" style="4"/>
    <col min="4097" max="4097" width="28.140625" style="4" customWidth="1"/>
    <col min="4098" max="4100" width="15.7109375" style="4" customWidth="1"/>
    <col min="4101" max="4101" width="14.42578125" style="4" customWidth="1"/>
    <col min="4102" max="4102" width="17.7109375" style="4" customWidth="1"/>
    <col min="4103" max="4103" width="15.28515625" style="4" customWidth="1"/>
    <col min="4104" max="4104" width="14.140625" style="4" customWidth="1"/>
    <col min="4105" max="4105" width="15" style="4" customWidth="1"/>
    <col min="4106" max="4106" width="18.5703125" style="4" customWidth="1"/>
    <col min="4107" max="4107" width="17.28515625" style="4" bestFit="1" customWidth="1"/>
    <col min="4108" max="4108" width="12.7109375" style="4" bestFit="1" customWidth="1"/>
    <col min="4109" max="4352" width="11.42578125" style="4"/>
    <col min="4353" max="4353" width="28.140625" style="4" customWidth="1"/>
    <col min="4354" max="4356" width="15.7109375" style="4" customWidth="1"/>
    <col min="4357" max="4357" width="14.42578125" style="4" customWidth="1"/>
    <col min="4358" max="4358" width="17.7109375" style="4" customWidth="1"/>
    <col min="4359" max="4359" width="15.28515625" style="4" customWidth="1"/>
    <col min="4360" max="4360" width="14.140625" style="4" customWidth="1"/>
    <col min="4361" max="4361" width="15" style="4" customWidth="1"/>
    <col min="4362" max="4362" width="18.5703125" style="4" customWidth="1"/>
    <col min="4363" max="4363" width="17.28515625" style="4" bestFit="1" customWidth="1"/>
    <col min="4364" max="4364" width="12.7109375" style="4" bestFit="1" customWidth="1"/>
    <col min="4365" max="4608" width="11.42578125" style="4"/>
    <col min="4609" max="4609" width="28.140625" style="4" customWidth="1"/>
    <col min="4610" max="4612" width="15.7109375" style="4" customWidth="1"/>
    <col min="4613" max="4613" width="14.42578125" style="4" customWidth="1"/>
    <col min="4614" max="4614" width="17.7109375" style="4" customWidth="1"/>
    <col min="4615" max="4615" width="15.28515625" style="4" customWidth="1"/>
    <col min="4616" max="4616" width="14.140625" style="4" customWidth="1"/>
    <col min="4617" max="4617" width="15" style="4" customWidth="1"/>
    <col min="4618" max="4618" width="18.5703125" style="4" customWidth="1"/>
    <col min="4619" max="4619" width="17.28515625" style="4" bestFit="1" customWidth="1"/>
    <col min="4620" max="4620" width="12.7109375" style="4" bestFit="1" customWidth="1"/>
    <col min="4621" max="4864" width="11.42578125" style="4"/>
    <col min="4865" max="4865" width="28.140625" style="4" customWidth="1"/>
    <col min="4866" max="4868" width="15.7109375" style="4" customWidth="1"/>
    <col min="4869" max="4869" width="14.42578125" style="4" customWidth="1"/>
    <col min="4870" max="4870" width="17.7109375" style="4" customWidth="1"/>
    <col min="4871" max="4871" width="15.28515625" style="4" customWidth="1"/>
    <col min="4872" max="4872" width="14.140625" style="4" customWidth="1"/>
    <col min="4873" max="4873" width="15" style="4" customWidth="1"/>
    <col min="4874" max="4874" width="18.5703125" style="4" customWidth="1"/>
    <col min="4875" max="4875" width="17.28515625" style="4" bestFit="1" customWidth="1"/>
    <col min="4876" max="4876" width="12.7109375" style="4" bestFit="1" customWidth="1"/>
    <col min="4877" max="5120" width="11.42578125" style="4"/>
    <col min="5121" max="5121" width="28.140625" style="4" customWidth="1"/>
    <col min="5122" max="5124" width="15.7109375" style="4" customWidth="1"/>
    <col min="5125" max="5125" width="14.42578125" style="4" customWidth="1"/>
    <col min="5126" max="5126" width="17.7109375" style="4" customWidth="1"/>
    <col min="5127" max="5127" width="15.28515625" style="4" customWidth="1"/>
    <col min="5128" max="5128" width="14.140625" style="4" customWidth="1"/>
    <col min="5129" max="5129" width="15" style="4" customWidth="1"/>
    <col min="5130" max="5130" width="18.5703125" style="4" customWidth="1"/>
    <col min="5131" max="5131" width="17.28515625" style="4" bestFit="1" customWidth="1"/>
    <col min="5132" max="5132" width="12.7109375" style="4" bestFit="1" customWidth="1"/>
    <col min="5133" max="5376" width="11.42578125" style="4"/>
    <col min="5377" max="5377" width="28.140625" style="4" customWidth="1"/>
    <col min="5378" max="5380" width="15.7109375" style="4" customWidth="1"/>
    <col min="5381" max="5381" width="14.42578125" style="4" customWidth="1"/>
    <col min="5382" max="5382" width="17.7109375" style="4" customWidth="1"/>
    <col min="5383" max="5383" width="15.28515625" style="4" customWidth="1"/>
    <col min="5384" max="5384" width="14.140625" style="4" customWidth="1"/>
    <col min="5385" max="5385" width="15" style="4" customWidth="1"/>
    <col min="5386" max="5386" width="18.5703125" style="4" customWidth="1"/>
    <col min="5387" max="5387" width="17.28515625" style="4" bestFit="1" customWidth="1"/>
    <col min="5388" max="5388" width="12.7109375" style="4" bestFit="1" customWidth="1"/>
    <col min="5389" max="5632" width="11.42578125" style="4"/>
    <col min="5633" max="5633" width="28.140625" style="4" customWidth="1"/>
    <col min="5634" max="5636" width="15.7109375" style="4" customWidth="1"/>
    <col min="5637" max="5637" width="14.42578125" style="4" customWidth="1"/>
    <col min="5638" max="5638" width="17.7109375" style="4" customWidth="1"/>
    <col min="5639" max="5639" width="15.28515625" style="4" customWidth="1"/>
    <col min="5640" max="5640" width="14.140625" style="4" customWidth="1"/>
    <col min="5641" max="5641" width="15" style="4" customWidth="1"/>
    <col min="5642" max="5642" width="18.5703125" style="4" customWidth="1"/>
    <col min="5643" max="5643" width="17.28515625" style="4" bestFit="1" customWidth="1"/>
    <col min="5644" max="5644" width="12.7109375" style="4" bestFit="1" customWidth="1"/>
    <col min="5645" max="5888" width="11.42578125" style="4"/>
    <col min="5889" max="5889" width="28.140625" style="4" customWidth="1"/>
    <col min="5890" max="5892" width="15.7109375" style="4" customWidth="1"/>
    <col min="5893" max="5893" width="14.42578125" style="4" customWidth="1"/>
    <col min="5894" max="5894" width="17.7109375" style="4" customWidth="1"/>
    <col min="5895" max="5895" width="15.28515625" style="4" customWidth="1"/>
    <col min="5896" max="5896" width="14.140625" style="4" customWidth="1"/>
    <col min="5897" max="5897" width="15" style="4" customWidth="1"/>
    <col min="5898" max="5898" width="18.5703125" style="4" customWidth="1"/>
    <col min="5899" max="5899" width="17.28515625" style="4" bestFit="1" customWidth="1"/>
    <col min="5900" max="5900" width="12.7109375" style="4" bestFit="1" customWidth="1"/>
    <col min="5901" max="6144" width="11.42578125" style="4"/>
    <col min="6145" max="6145" width="28.140625" style="4" customWidth="1"/>
    <col min="6146" max="6148" width="15.7109375" style="4" customWidth="1"/>
    <col min="6149" max="6149" width="14.42578125" style="4" customWidth="1"/>
    <col min="6150" max="6150" width="17.7109375" style="4" customWidth="1"/>
    <col min="6151" max="6151" width="15.28515625" style="4" customWidth="1"/>
    <col min="6152" max="6152" width="14.140625" style="4" customWidth="1"/>
    <col min="6153" max="6153" width="15" style="4" customWidth="1"/>
    <col min="6154" max="6154" width="18.5703125" style="4" customWidth="1"/>
    <col min="6155" max="6155" width="17.28515625" style="4" bestFit="1" customWidth="1"/>
    <col min="6156" max="6156" width="12.7109375" style="4" bestFit="1" customWidth="1"/>
    <col min="6157" max="6400" width="11.42578125" style="4"/>
    <col min="6401" max="6401" width="28.140625" style="4" customWidth="1"/>
    <col min="6402" max="6404" width="15.7109375" style="4" customWidth="1"/>
    <col min="6405" max="6405" width="14.42578125" style="4" customWidth="1"/>
    <col min="6406" max="6406" width="17.7109375" style="4" customWidth="1"/>
    <col min="6407" max="6407" width="15.28515625" style="4" customWidth="1"/>
    <col min="6408" max="6408" width="14.140625" style="4" customWidth="1"/>
    <col min="6409" max="6409" width="15" style="4" customWidth="1"/>
    <col min="6410" max="6410" width="18.5703125" style="4" customWidth="1"/>
    <col min="6411" max="6411" width="17.28515625" style="4" bestFit="1" customWidth="1"/>
    <col min="6412" max="6412" width="12.7109375" style="4" bestFit="1" customWidth="1"/>
    <col min="6413" max="6656" width="11.42578125" style="4"/>
    <col min="6657" max="6657" width="28.140625" style="4" customWidth="1"/>
    <col min="6658" max="6660" width="15.7109375" style="4" customWidth="1"/>
    <col min="6661" max="6661" width="14.42578125" style="4" customWidth="1"/>
    <col min="6662" max="6662" width="17.7109375" style="4" customWidth="1"/>
    <col min="6663" max="6663" width="15.28515625" style="4" customWidth="1"/>
    <col min="6664" max="6664" width="14.140625" style="4" customWidth="1"/>
    <col min="6665" max="6665" width="15" style="4" customWidth="1"/>
    <col min="6666" max="6666" width="18.5703125" style="4" customWidth="1"/>
    <col min="6667" max="6667" width="17.28515625" style="4" bestFit="1" customWidth="1"/>
    <col min="6668" max="6668" width="12.7109375" style="4" bestFit="1" customWidth="1"/>
    <col min="6669" max="6912" width="11.42578125" style="4"/>
    <col min="6913" max="6913" width="28.140625" style="4" customWidth="1"/>
    <col min="6914" max="6916" width="15.7109375" style="4" customWidth="1"/>
    <col min="6917" max="6917" width="14.42578125" style="4" customWidth="1"/>
    <col min="6918" max="6918" width="17.7109375" style="4" customWidth="1"/>
    <col min="6919" max="6919" width="15.28515625" style="4" customWidth="1"/>
    <col min="6920" max="6920" width="14.140625" style="4" customWidth="1"/>
    <col min="6921" max="6921" width="15" style="4" customWidth="1"/>
    <col min="6922" max="6922" width="18.5703125" style="4" customWidth="1"/>
    <col min="6923" max="6923" width="17.28515625" style="4" bestFit="1" customWidth="1"/>
    <col min="6924" max="6924" width="12.7109375" style="4" bestFit="1" customWidth="1"/>
    <col min="6925" max="7168" width="11.42578125" style="4"/>
    <col min="7169" max="7169" width="28.140625" style="4" customWidth="1"/>
    <col min="7170" max="7172" width="15.7109375" style="4" customWidth="1"/>
    <col min="7173" max="7173" width="14.42578125" style="4" customWidth="1"/>
    <col min="7174" max="7174" width="17.7109375" style="4" customWidth="1"/>
    <col min="7175" max="7175" width="15.28515625" style="4" customWidth="1"/>
    <col min="7176" max="7176" width="14.140625" style="4" customWidth="1"/>
    <col min="7177" max="7177" width="15" style="4" customWidth="1"/>
    <col min="7178" max="7178" width="18.5703125" style="4" customWidth="1"/>
    <col min="7179" max="7179" width="17.28515625" style="4" bestFit="1" customWidth="1"/>
    <col min="7180" max="7180" width="12.7109375" style="4" bestFit="1" customWidth="1"/>
    <col min="7181" max="7424" width="11.42578125" style="4"/>
    <col min="7425" max="7425" width="28.140625" style="4" customWidth="1"/>
    <col min="7426" max="7428" width="15.7109375" style="4" customWidth="1"/>
    <col min="7429" max="7429" width="14.42578125" style="4" customWidth="1"/>
    <col min="7430" max="7430" width="17.7109375" style="4" customWidth="1"/>
    <col min="7431" max="7431" width="15.28515625" style="4" customWidth="1"/>
    <col min="7432" max="7432" width="14.140625" style="4" customWidth="1"/>
    <col min="7433" max="7433" width="15" style="4" customWidth="1"/>
    <col min="7434" max="7434" width="18.5703125" style="4" customWidth="1"/>
    <col min="7435" max="7435" width="17.28515625" style="4" bestFit="1" customWidth="1"/>
    <col min="7436" max="7436" width="12.7109375" style="4" bestFit="1" customWidth="1"/>
    <col min="7437" max="7680" width="11.42578125" style="4"/>
    <col min="7681" max="7681" width="28.140625" style="4" customWidth="1"/>
    <col min="7682" max="7684" width="15.7109375" style="4" customWidth="1"/>
    <col min="7685" max="7685" width="14.42578125" style="4" customWidth="1"/>
    <col min="7686" max="7686" width="17.7109375" style="4" customWidth="1"/>
    <col min="7687" max="7687" width="15.28515625" style="4" customWidth="1"/>
    <col min="7688" max="7688" width="14.140625" style="4" customWidth="1"/>
    <col min="7689" max="7689" width="15" style="4" customWidth="1"/>
    <col min="7690" max="7690" width="18.5703125" style="4" customWidth="1"/>
    <col min="7691" max="7691" width="17.28515625" style="4" bestFit="1" customWidth="1"/>
    <col min="7692" max="7692" width="12.7109375" style="4" bestFit="1" customWidth="1"/>
    <col min="7693" max="7936" width="11.42578125" style="4"/>
    <col min="7937" max="7937" width="28.140625" style="4" customWidth="1"/>
    <col min="7938" max="7940" width="15.7109375" style="4" customWidth="1"/>
    <col min="7941" max="7941" width="14.42578125" style="4" customWidth="1"/>
    <col min="7942" max="7942" width="17.7109375" style="4" customWidth="1"/>
    <col min="7943" max="7943" width="15.28515625" style="4" customWidth="1"/>
    <col min="7944" max="7944" width="14.140625" style="4" customWidth="1"/>
    <col min="7945" max="7945" width="15" style="4" customWidth="1"/>
    <col min="7946" max="7946" width="18.5703125" style="4" customWidth="1"/>
    <col min="7947" max="7947" width="17.28515625" style="4" bestFit="1" customWidth="1"/>
    <col min="7948" max="7948" width="12.7109375" style="4" bestFit="1" customWidth="1"/>
    <col min="7949" max="8192" width="11.42578125" style="4"/>
    <col min="8193" max="8193" width="28.140625" style="4" customWidth="1"/>
    <col min="8194" max="8196" width="15.7109375" style="4" customWidth="1"/>
    <col min="8197" max="8197" width="14.42578125" style="4" customWidth="1"/>
    <col min="8198" max="8198" width="17.7109375" style="4" customWidth="1"/>
    <col min="8199" max="8199" width="15.28515625" style="4" customWidth="1"/>
    <col min="8200" max="8200" width="14.140625" style="4" customWidth="1"/>
    <col min="8201" max="8201" width="15" style="4" customWidth="1"/>
    <col min="8202" max="8202" width="18.5703125" style="4" customWidth="1"/>
    <col min="8203" max="8203" width="17.28515625" style="4" bestFit="1" customWidth="1"/>
    <col min="8204" max="8204" width="12.7109375" style="4" bestFit="1" customWidth="1"/>
    <col min="8205" max="8448" width="11.42578125" style="4"/>
    <col min="8449" max="8449" width="28.140625" style="4" customWidth="1"/>
    <col min="8450" max="8452" width="15.7109375" style="4" customWidth="1"/>
    <col min="8453" max="8453" width="14.42578125" style="4" customWidth="1"/>
    <col min="8454" max="8454" width="17.7109375" style="4" customWidth="1"/>
    <col min="8455" max="8455" width="15.28515625" style="4" customWidth="1"/>
    <col min="8456" max="8456" width="14.140625" style="4" customWidth="1"/>
    <col min="8457" max="8457" width="15" style="4" customWidth="1"/>
    <col min="8458" max="8458" width="18.5703125" style="4" customWidth="1"/>
    <col min="8459" max="8459" width="17.28515625" style="4" bestFit="1" customWidth="1"/>
    <col min="8460" max="8460" width="12.7109375" style="4" bestFit="1" customWidth="1"/>
    <col min="8461" max="8704" width="11.42578125" style="4"/>
    <col min="8705" max="8705" width="28.140625" style="4" customWidth="1"/>
    <col min="8706" max="8708" width="15.7109375" style="4" customWidth="1"/>
    <col min="8709" max="8709" width="14.42578125" style="4" customWidth="1"/>
    <col min="8710" max="8710" width="17.7109375" style="4" customWidth="1"/>
    <col min="8711" max="8711" width="15.28515625" style="4" customWidth="1"/>
    <col min="8712" max="8712" width="14.140625" style="4" customWidth="1"/>
    <col min="8713" max="8713" width="15" style="4" customWidth="1"/>
    <col min="8714" max="8714" width="18.5703125" style="4" customWidth="1"/>
    <col min="8715" max="8715" width="17.28515625" style="4" bestFit="1" customWidth="1"/>
    <col min="8716" max="8716" width="12.7109375" style="4" bestFit="1" customWidth="1"/>
    <col min="8717" max="8960" width="11.42578125" style="4"/>
    <col min="8961" max="8961" width="28.140625" style="4" customWidth="1"/>
    <col min="8962" max="8964" width="15.7109375" style="4" customWidth="1"/>
    <col min="8965" max="8965" width="14.42578125" style="4" customWidth="1"/>
    <col min="8966" max="8966" width="17.7109375" style="4" customWidth="1"/>
    <col min="8967" max="8967" width="15.28515625" style="4" customWidth="1"/>
    <col min="8968" max="8968" width="14.140625" style="4" customWidth="1"/>
    <col min="8969" max="8969" width="15" style="4" customWidth="1"/>
    <col min="8970" max="8970" width="18.5703125" style="4" customWidth="1"/>
    <col min="8971" max="8971" width="17.28515625" style="4" bestFit="1" customWidth="1"/>
    <col min="8972" max="8972" width="12.7109375" style="4" bestFit="1" customWidth="1"/>
    <col min="8973" max="9216" width="11.42578125" style="4"/>
    <col min="9217" max="9217" width="28.140625" style="4" customWidth="1"/>
    <col min="9218" max="9220" width="15.7109375" style="4" customWidth="1"/>
    <col min="9221" max="9221" width="14.42578125" style="4" customWidth="1"/>
    <col min="9222" max="9222" width="17.7109375" style="4" customWidth="1"/>
    <col min="9223" max="9223" width="15.28515625" style="4" customWidth="1"/>
    <col min="9224" max="9224" width="14.140625" style="4" customWidth="1"/>
    <col min="9225" max="9225" width="15" style="4" customWidth="1"/>
    <col min="9226" max="9226" width="18.5703125" style="4" customWidth="1"/>
    <col min="9227" max="9227" width="17.28515625" style="4" bestFit="1" customWidth="1"/>
    <col min="9228" max="9228" width="12.7109375" style="4" bestFit="1" customWidth="1"/>
    <col min="9229" max="9472" width="11.42578125" style="4"/>
    <col min="9473" max="9473" width="28.140625" style="4" customWidth="1"/>
    <col min="9474" max="9476" width="15.7109375" style="4" customWidth="1"/>
    <col min="9477" max="9477" width="14.42578125" style="4" customWidth="1"/>
    <col min="9478" max="9478" width="17.7109375" style="4" customWidth="1"/>
    <col min="9479" max="9479" width="15.28515625" style="4" customWidth="1"/>
    <col min="9480" max="9480" width="14.140625" style="4" customWidth="1"/>
    <col min="9481" max="9481" width="15" style="4" customWidth="1"/>
    <col min="9482" max="9482" width="18.5703125" style="4" customWidth="1"/>
    <col min="9483" max="9483" width="17.28515625" style="4" bestFit="1" customWidth="1"/>
    <col min="9484" max="9484" width="12.7109375" style="4" bestFit="1" customWidth="1"/>
    <col min="9485" max="9728" width="11.42578125" style="4"/>
    <col min="9729" max="9729" width="28.140625" style="4" customWidth="1"/>
    <col min="9730" max="9732" width="15.7109375" style="4" customWidth="1"/>
    <col min="9733" max="9733" width="14.42578125" style="4" customWidth="1"/>
    <col min="9734" max="9734" width="17.7109375" style="4" customWidth="1"/>
    <col min="9735" max="9735" width="15.28515625" style="4" customWidth="1"/>
    <col min="9736" max="9736" width="14.140625" style="4" customWidth="1"/>
    <col min="9737" max="9737" width="15" style="4" customWidth="1"/>
    <col min="9738" max="9738" width="18.5703125" style="4" customWidth="1"/>
    <col min="9739" max="9739" width="17.28515625" style="4" bestFit="1" customWidth="1"/>
    <col min="9740" max="9740" width="12.7109375" style="4" bestFit="1" customWidth="1"/>
    <col min="9741" max="9984" width="11.42578125" style="4"/>
    <col min="9985" max="9985" width="28.140625" style="4" customWidth="1"/>
    <col min="9986" max="9988" width="15.7109375" style="4" customWidth="1"/>
    <col min="9989" max="9989" width="14.42578125" style="4" customWidth="1"/>
    <col min="9990" max="9990" width="17.7109375" style="4" customWidth="1"/>
    <col min="9991" max="9991" width="15.28515625" style="4" customWidth="1"/>
    <col min="9992" max="9992" width="14.140625" style="4" customWidth="1"/>
    <col min="9993" max="9993" width="15" style="4" customWidth="1"/>
    <col min="9994" max="9994" width="18.5703125" style="4" customWidth="1"/>
    <col min="9995" max="9995" width="17.28515625" style="4" bestFit="1" customWidth="1"/>
    <col min="9996" max="9996" width="12.7109375" style="4" bestFit="1" customWidth="1"/>
    <col min="9997" max="10240" width="11.42578125" style="4"/>
    <col min="10241" max="10241" width="28.140625" style="4" customWidth="1"/>
    <col min="10242" max="10244" width="15.7109375" style="4" customWidth="1"/>
    <col min="10245" max="10245" width="14.42578125" style="4" customWidth="1"/>
    <col min="10246" max="10246" width="17.7109375" style="4" customWidth="1"/>
    <col min="10247" max="10247" width="15.28515625" style="4" customWidth="1"/>
    <col min="10248" max="10248" width="14.140625" style="4" customWidth="1"/>
    <col min="10249" max="10249" width="15" style="4" customWidth="1"/>
    <col min="10250" max="10250" width="18.5703125" style="4" customWidth="1"/>
    <col min="10251" max="10251" width="17.28515625" style="4" bestFit="1" customWidth="1"/>
    <col min="10252" max="10252" width="12.7109375" style="4" bestFit="1" customWidth="1"/>
    <col min="10253" max="10496" width="11.42578125" style="4"/>
    <col min="10497" max="10497" width="28.140625" style="4" customWidth="1"/>
    <col min="10498" max="10500" width="15.7109375" style="4" customWidth="1"/>
    <col min="10501" max="10501" width="14.42578125" style="4" customWidth="1"/>
    <col min="10502" max="10502" width="17.7109375" style="4" customWidth="1"/>
    <col min="10503" max="10503" width="15.28515625" style="4" customWidth="1"/>
    <col min="10504" max="10504" width="14.140625" style="4" customWidth="1"/>
    <col min="10505" max="10505" width="15" style="4" customWidth="1"/>
    <col min="10506" max="10506" width="18.5703125" style="4" customWidth="1"/>
    <col min="10507" max="10507" width="17.28515625" style="4" bestFit="1" customWidth="1"/>
    <col min="10508" max="10508" width="12.7109375" style="4" bestFit="1" customWidth="1"/>
    <col min="10509" max="10752" width="11.42578125" style="4"/>
    <col min="10753" max="10753" width="28.140625" style="4" customWidth="1"/>
    <col min="10754" max="10756" width="15.7109375" style="4" customWidth="1"/>
    <col min="10757" max="10757" width="14.42578125" style="4" customWidth="1"/>
    <col min="10758" max="10758" width="17.7109375" style="4" customWidth="1"/>
    <col min="10759" max="10759" width="15.28515625" style="4" customWidth="1"/>
    <col min="10760" max="10760" width="14.140625" style="4" customWidth="1"/>
    <col min="10761" max="10761" width="15" style="4" customWidth="1"/>
    <col min="10762" max="10762" width="18.5703125" style="4" customWidth="1"/>
    <col min="10763" max="10763" width="17.28515625" style="4" bestFit="1" customWidth="1"/>
    <col min="10764" max="10764" width="12.7109375" style="4" bestFit="1" customWidth="1"/>
    <col min="10765" max="11008" width="11.42578125" style="4"/>
    <col min="11009" max="11009" width="28.140625" style="4" customWidth="1"/>
    <col min="11010" max="11012" width="15.7109375" style="4" customWidth="1"/>
    <col min="11013" max="11013" width="14.42578125" style="4" customWidth="1"/>
    <col min="11014" max="11014" width="17.7109375" style="4" customWidth="1"/>
    <col min="11015" max="11015" width="15.28515625" style="4" customWidth="1"/>
    <col min="11016" max="11016" width="14.140625" style="4" customWidth="1"/>
    <col min="11017" max="11017" width="15" style="4" customWidth="1"/>
    <col min="11018" max="11018" width="18.5703125" style="4" customWidth="1"/>
    <col min="11019" max="11019" width="17.28515625" style="4" bestFit="1" customWidth="1"/>
    <col min="11020" max="11020" width="12.7109375" style="4" bestFit="1" customWidth="1"/>
    <col min="11021" max="11264" width="11.42578125" style="4"/>
    <col min="11265" max="11265" width="28.140625" style="4" customWidth="1"/>
    <col min="11266" max="11268" width="15.7109375" style="4" customWidth="1"/>
    <col min="11269" max="11269" width="14.42578125" style="4" customWidth="1"/>
    <col min="11270" max="11270" width="17.7109375" style="4" customWidth="1"/>
    <col min="11271" max="11271" width="15.28515625" style="4" customWidth="1"/>
    <col min="11272" max="11272" width="14.140625" style="4" customWidth="1"/>
    <col min="11273" max="11273" width="15" style="4" customWidth="1"/>
    <col min="11274" max="11274" width="18.5703125" style="4" customWidth="1"/>
    <col min="11275" max="11275" width="17.28515625" style="4" bestFit="1" customWidth="1"/>
    <col min="11276" max="11276" width="12.7109375" style="4" bestFit="1" customWidth="1"/>
    <col min="11277" max="11520" width="11.42578125" style="4"/>
    <col min="11521" max="11521" width="28.140625" style="4" customWidth="1"/>
    <col min="11522" max="11524" width="15.7109375" style="4" customWidth="1"/>
    <col min="11525" max="11525" width="14.42578125" style="4" customWidth="1"/>
    <col min="11526" max="11526" width="17.7109375" style="4" customWidth="1"/>
    <col min="11527" max="11527" width="15.28515625" style="4" customWidth="1"/>
    <col min="11528" max="11528" width="14.140625" style="4" customWidth="1"/>
    <col min="11529" max="11529" width="15" style="4" customWidth="1"/>
    <col min="11530" max="11530" width="18.5703125" style="4" customWidth="1"/>
    <col min="11531" max="11531" width="17.28515625" style="4" bestFit="1" customWidth="1"/>
    <col min="11532" max="11532" width="12.7109375" style="4" bestFit="1" customWidth="1"/>
    <col min="11533" max="11776" width="11.42578125" style="4"/>
    <col min="11777" max="11777" width="28.140625" style="4" customWidth="1"/>
    <col min="11778" max="11780" width="15.7109375" style="4" customWidth="1"/>
    <col min="11781" max="11781" width="14.42578125" style="4" customWidth="1"/>
    <col min="11782" max="11782" width="17.7109375" style="4" customWidth="1"/>
    <col min="11783" max="11783" width="15.28515625" style="4" customWidth="1"/>
    <col min="11784" max="11784" width="14.140625" style="4" customWidth="1"/>
    <col min="11785" max="11785" width="15" style="4" customWidth="1"/>
    <col min="11786" max="11786" width="18.5703125" style="4" customWidth="1"/>
    <col min="11787" max="11787" width="17.28515625" style="4" bestFit="1" customWidth="1"/>
    <col min="11788" max="11788" width="12.7109375" style="4" bestFit="1" customWidth="1"/>
    <col min="11789" max="12032" width="11.42578125" style="4"/>
    <col min="12033" max="12033" width="28.140625" style="4" customWidth="1"/>
    <col min="12034" max="12036" width="15.7109375" style="4" customWidth="1"/>
    <col min="12037" max="12037" width="14.42578125" style="4" customWidth="1"/>
    <col min="12038" max="12038" width="17.7109375" style="4" customWidth="1"/>
    <col min="12039" max="12039" width="15.28515625" style="4" customWidth="1"/>
    <col min="12040" max="12040" width="14.140625" style="4" customWidth="1"/>
    <col min="12041" max="12041" width="15" style="4" customWidth="1"/>
    <col min="12042" max="12042" width="18.5703125" style="4" customWidth="1"/>
    <col min="12043" max="12043" width="17.28515625" style="4" bestFit="1" customWidth="1"/>
    <col min="12044" max="12044" width="12.7109375" style="4" bestFit="1" customWidth="1"/>
    <col min="12045" max="12288" width="11.42578125" style="4"/>
    <col min="12289" max="12289" width="28.140625" style="4" customWidth="1"/>
    <col min="12290" max="12292" width="15.7109375" style="4" customWidth="1"/>
    <col min="12293" max="12293" width="14.42578125" style="4" customWidth="1"/>
    <col min="12294" max="12294" width="17.7109375" style="4" customWidth="1"/>
    <col min="12295" max="12295" width="15.28515625" style="4" customWidth="1"/>
    <col min="12296" max="12296" width="14.140625" style="4" customWidth="1"/>
    <col min="12297" max="12297" width="15" style="4" customWidth="1"/>
    <col min="12298" max="12298" width="18.5703125" style="4" customWidth="1"/>
    <col min="12299" max="12299" width="17.28515625" style="4" bestFit="1" customWidth="1"/>
    <col min="12300" max="12300" width="12.7109375" style="4" bestFit="1" customWidth="1"/>
    <col min="12301" max="12544" width="11.42578125" style="4"/>
    <col min="12545" max="12545" width="28.140625" style="4" customWidth="1"/>
    <col min="12546" max="12548" width="15.7109375" style="4" customWidth="1"/>
    <col min="12549" max="12549" width="14.42578125" style="4" customWidth="1"/>
    <col min="12550" max="12550" width="17.7109375" style="4" customWidth="1"/>
    <col min="12551" max="12551" width="15.28515625" style="4" customWidth="1"/>
    <col min="12552" max="12552" width="14.140625" style="4" customWidth="1"/>
    <col min="12553" max="12553" width="15" style="4" customWidth="1"/>
    <col min="12554" max="12554" width="18.5703125" style="4" customWidth="1"/>
    <col min="12555" max="12555" width="17.28515625" style="4" bestFit="1" customWidth="1"/>
    <col min="12556" max="12556" width="12.7109375" style="4" bestFit="1" customWidth="1"/>
    <col min="12557" max="12800" width="11.42578125" style="4"/>
    <col min="12801" max="12801" width="28.140625" style="4" customWidth="1"/>
    <col min="12802" max="12804" width="15.7109375" style="4" customWidth="1"/>
    <col min="12805" max="12805" width="14.42578125" style="4" customWidth="1"/>
    <col min="12806" max="12806" width="17.7109375" style="4" customWidth="1"/>
    <col min="12807" max="12807" width="15.28515625" style="4" customWidth="1"/>
    <col min="12808" max="12808" width="14.140625" style="4" customWidth="1"/>
    <col min="12809" max="12809" width="15" style="4" customWidth="1"/>
    <col min="12810" max="12810" width="18.5703125" style="4" customWidth="1"/>
    <col min="12811" max="12811" width="17.28515625" style="4" bestFit="1" customWidth="1"/>
    <col min="12812" max="12812" width="12.7109375" style="4" bestFit="1" customWidth="1"/>
    <col min="12813" max="13056" width="11.42578125" style="4"/>
    <col min="13057" max="13057" width="28.140625" style="4" customWidth="1"/>
    <col min="13058" max="13060" width="15.7109375" style="4" customWidth="1"/>
    <col min="13061" max="13061" width="14.42578125" style="4" customWidth="1"/>
    <col min="13062" max="13062" width="17.7109375" style="4" customWidth="1"/>
    <col min="13063" max="13063" width="15.28515625" style="4" customWidth="1"/>
    <col min="13064" max="13064" width="14.140625" style="4" customWidth="1"/>
    <col min="13065" max="13065" width="15" style="4" customWidth="1"/>
    <col min="13066" max="13066" width="18.5703125" style="4" customWidth="1"/>
    <col min="13067" max="13067" width="17.28515625" style="4" bestFit="1" customWidth="1"/>
    <col min="13068" max="13068" width="12.7109375" style="4" bestFit="1" customWidth="1"/>
    <col min="13069" max="13312" width="11.42578125" style="4"/>
    <col min="13313" max="13313" width="28.140625" style="4" customWidth="1"/>
    <col min="13314" max="13316" width="15.7109375" style="4" customWidth="1"/>
    <col min="13317" max="13317" width="14.42578125" style="4" customWidth="1"/>
    <col min="13318" max="13318" width="17.7109375" style="4" customWidth="1"/>
    <col min="13319" max="13319" width="15.28515625" style="4" customWidth="1"/>
    <col min="13320" max="13320" width="14.140625" style="4" customWidth="1"/>
    <col min="13321" max="13321" width="15" style="4" customWidth="1"/>
    <col min="13322" max="13322" width="18.5703125" style="4" customWidth="1"/>
    <col min="13323" max="13323" width="17.28515625" style="4" bestFit="1" customWidth="1"/>
    <col min="13324" max="13324" width="12.7109375" style="4" bestFit="1" customWidth="1"/>
    <col min="13325" max="13568" width="11.42578125" style="4"/>
    <col min="13569" max="13569" width="28.140625" style="4" customWidth="1"/>
    <col min="13570" max="13572" width="15.7109375" style="4" customWidth="1"/>
    <col min="13573" max="13573" width="14.42578125" style="4" customWidth="1"/>
    <col min="13574" max="13574" width="17.7109375" style="4" customWidth="1"/>
    <col min="13575" max="13575" width="15.28515625" style="4" customWidth="1"/>
    <col min="13576" max="13576" width="14.140625" style="4" customWidth="1"/>
    <col min="13577" max="13577" width="15" style="4" customWidth="1"/>
    <col min="13578" max="13578" width="18.5703125" style="4" customWidth="1"/>
    <col min="13579" max="13579" width="17.28515625" style="4" bestFit="1" customWidth="1"/>
    <col min="13580" max="13580" width="12.7109375" style="4" bestFit="1" customWidth="1"/>
    <col min="13581" max="13824" width="11.42578125" style="4"/>
    <col min="13825" max="13825" width="28.140625" style="4" customWidth="1"/>
    <col min="13826" max="13828" width="15.7109375" style="4" customWidth="1"/>
    <col min="13829" max="13829" width="14.42578125" style="4" customWidth="1"/>
    <col min="13830" max="13830" width="17.7109375" style="4" customWidth="1"/>
    <col min="13831" max="13831" width="15.28515625" style="4" customWidth="1"/>
    <col min="13832" max="13832" width="14.140625" style="4" customWidth="1"/>
    <col min="13833" max="13833" width="15" style="4" customWidth="1"/>
    <col min="13834" max="13834" width="18.5703125" style="4" customWidth="1"/>
    <col min="13835" max="13835" width="17.28515625" style="4" bestFit="1" customWidth="1"/>
    <col min="13836" max="13836" width="12.7109375" style="4" bestFit="1" customWidth="1"/>
    <col min="13837" max="14080" width="11.42578125" style="4"/>
    <col min="14081" max="14081" width="28.140625" style="4" customWidth="1"/>
    <col min="14082" max="14084" width="15.7109375" style="4" customWidth="1"/>
    <col min="14085" max="14085" width="14.42578125" style="4" customWidth="1"/>
    <col min="14086" max="14086" width="17.7109375" style="4" customWidth="1"/>
    <col min="14087" max="14087" width="15.28515625" style="4" customWidth="1"/>
    <col min="14088" max="14088" width="14.140625" style="4" customWidth="1"/>
    <col min="14089" max="14089" width="15" style="4" customWidth="1"/>
    <col min="14090" max="14090" width="18.5703125" style="4" customWidth="1"/>
    <col min="14091" max="14091" width="17.28515625" style="4" bestFit="1" customWidth="1"/>
    <col min="14092" max="14092" width="12.7109375" style="4" bestFit="1" customWidth="1"/>
    <col min="14093" max="14336" width="11.42578125" style="4"/>
    <col min="14337" max="14337" width="28.140625" style="4" customWidth="1"/>
    <col min="14338" max="14340" width="15.7109375" style="4" customWidth="1"/>
    <col min="14341" max="14341" width="14.42578125" style="4" customWidth="1"/>
    <col min="14342" max="14342" width="17.7109375" style="4" customWidth="1"/>
    <col min="14343" max="14343" width="15.28515625" style="4" customWidth="1"/>
    <col min="14344" max="14344" width="14.140625" style="4" customWidth="1"/>
    <col min="14345" max="14345" width="15" style="4" customWidth="1"/>
    <col min="14346" max="14346" width="18.5703125" style="4" customWidth="1"/>
    <col min="14347" max="14347" width="17.28515625" style="4" bestFit="1" customWidth="1"/>
    <col min="14348" max="14348" width="12.7109375" style="4" bestFit="1" customWidth="1"/>
    <col min="14349" max="14592" width="11.42578125" style="4"/>
    <col min="14593" max="14593" width="28.140625" style="4" customWidth="1"/>
    <col min="14594" max="14596" width="15.7109375" style="4" customWidth="1"/>
    <col min="14597" max="14597" width="14.42578125" style="4" customWidth="1"/>
    <col min="14598" max="14598" width="17.7109375" style="4" customWidth="1"/>
    <col min="14599" max="14599" width="15.28515625" style="4" customWidth="1"/>
    <col min="14600" max="14600" width="14.140625" style="4" customWidth="1"/>
    <col min="14601" max="14601" width="15" style="4" customWidth="1"/>
    <col min="14602" max="14602" width="18.5703125" style="4" customWidth="1"/>
    <col min="14603" max="14603" width="17.28515625" style="4" bestFit="1" customWidth="1"/>
    <col min="14604" max="14604" width="12.7109375" style="4" bestFit="1" customWidth="1"/>
    <col min="14605" max="14848" width="11.42578125" style="4"/>
    <col min="14849" max="14849" width="28.140625" style="4" customWidth="1"/>
    <col min="14850" max="14852" width="15.7109375" style="4" customWidth="1"/>
    <col min="14853" max="14853" width="14.42578125" style="4" customWidth="1"/>
    <col min="14854" max="14854" width="17.7109375" style="4" customWidth="1"/>
    <col min="14855" max="14855" width="15.28515625" style="4" customWidth="1"/>
    <col min="14856" max="14856" width="14.140625" style="4" customWidth="1"/>
    <col min="14857" max="14857" width="15" style="4" customWidth="1"/>
    <col min="14858" max="14858" width="18.5703125" style="4" customWidth="1"/>
    <col min="14859" max="14859" width="17.28515625" style="4" bestFit="1" customWidth="1"/>
    <col min="14860" max="14860" width="12.7109375" style="4" bestFit="1" customWidth="1"/>
    <col min="14861" max="15104" width="11.42578125" style="4"/>
    <col min="15105" max="15105" width="28.140625" style="4" customWidth="1"/>
    <col min="15106" max="15108" width="15.7109375" style="4" customWidth="1"/>
    <col min="15109" max="15109" width="14.42578125" style="4" customWidth="1"/>
    <col min="15110" max="15110" width="17.7109375" style="4" customWidth="1"/>
    <col min="15111" max="15111" width="15.28515625" style="4" customWidth="1"/>
    <col min="15112" max="15112" width="14.140625" style="4" customWidth="1"/>
    <col min="15113" max="15113" width="15" style="4" customWidth="1"/>
    <col min="15114" max="15114" width="18.5703125" style="4" customWidth="1"/>
    <col min="15115" max="15115" width="17.28515625" style="4" bestFit="1" customWidth="1"/>
    <col min="15116" max="15116" width="12.7109375" style="4" bestFit="1" customWidth="1"/>
    <col min="15117" max="15360" width="11.42578125" style="4"/>
    <col min="15361" max="15361" width="28.140625" style="4" customWidth="1"/>
    <col min="15362" max="15364" width="15.7109375" style="4" customWidth="1"/>
    <col min="15365" max="15365" width="14.42578125" style="4" customWidth="1"/>
    <col min="15366" max="15366" width="17.7109375" style="4" customWidth="1"/>
    <col min="15367" max="15367" width="15.28515625" style="4" customWidth="1"/>
    <col min="15368" max="15368" width="14.140625" style="4" customWidth="1"/>
    <col min="15369" max="15369" width="15" style="4" customWidth="1"/>
    <col min="15370" max="15370" width="18.5703125" style="4" customWidth="1"/>
    <col min="15371" max="15371" width="17.28515625" style="4" bestFit="1" customWidth="1"/>
    <col min="15372" max="15372" width="12.7109375" style="4" bestFit="1" customWidth="1"/>
    <col min="15373" max="15616" width="11.42578125" style="4"/>
    <col min="15617" max="15617" width="28.140625" style="4" customWidth="1"/>
    <col min="15618" max="15620" width="15.7109375" style="4" customWidth="1"/>
    <col min="15621" max="15621" width="14.42578125" style="4" customWidth="1"/>
    <col min="15622" max="15622" width="17.7109375" style="4" customWidth="1"/>
    <col min="15623" max="15623" width="15.28515625" style="4" customWidth="1"/>
    <col min="15624" max="15624" width="14.140625" style="4" customWidth="1"/>
    <col min="15625" max="15625" width="15" style="4" customWidth="1"/>
    <col min="15626" max="15626" width="18.5703125" style="4" customWidth="1"/>
    <col min="15627" max="15627" width="17.28515625" style="4" bestFit="1" customWidth="1"/>
    <col min="15628" max="15628" width="12.7109375" style="4" bestFit="1" customWidth="1"/>
    <col min="15629" max="15872" width="11.42578125" style="4"/>
    <col min="15873" max="15873" width="28.140625" style="4" customWidth="1"/>
    <col min="15874" max="15876" width="15.7109375" style="4" customWidth="1"/>
    <col min="15877" max="15877" width="14.42578125" style="4" customWidth="1"/>
    <col min="15878" max="15878" width="17.7109375" style="4" customWidth="1"/>
    <col min="15879" max="15879" width="15.28515625" style="4" customWidth="1"/>
    <col min="15880" max="15880" width="14.140625" style="4" customWidth="1"/>
    <col min="15881" max="15881" width="15" style="4" customWidth="1"/>
    <col min="15882" max="15882" width="18.5703125" style="4" customWidth="1"/>
    <col min="15883" max="15883" width="17.28515625" style="4" bestFit="1" customWidth="1"/>
    <col min="15884" max="15884" width="12.7109375" style="4" bestFit="1" customWidth="1"/>
    <col min="15885" max="16128" width="11.42578125" style="4"/>
    <col min="16129" max="16129" width="28.140625" style="4" customWidth="1"/>
    <col min="16130" max="16132" width="15.7109375" style="4" customWidth="1"/>
    <col min="16133" max="16133" width="14.42578125" style="4" customWidth="1"/>
    <col min="16134" max="16134" width="17.7109375" style="4" customWidth="1"/>
    <col min="16135" max="16135" width="15.28515625" style="4" customWidth="1"/>
    <col min="16136" max="16136" width="14.140625" style="4" customWidth="1"/>
    <col min="16137" max="16137" width="15" style="4" customWidth="1"/>
    <col min="16138" max="16138" width="18.5703125" style="4" customWidth="1"/>
    <col min="16139" max="16139" width="17.28515625" style="4" bestFit="1" customWidth="1"/>
    <col min="16140" max="16140" width="12.7109375" style="4" bestFit="1" customWidth="1"/>
    <col min="16141" max="16384" width="11.42578125" style="4"/>
  </cols>
  <sheetData>
    <row r="1" spans="1:11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1" ht="15.75" x14ac:dyDescent="0.2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7"/>
    </row>
    <row r="3" spans="1:11" ht="38.25" customHeight="1" x14ac:dyDescent="0.2">
      <c r="A3" s="5"/>
      <c r="B3" s="6"/>
      <c r="C3" s="6"/>
      <c r="D3" s="6"/>
      <c r="E3" s="6"/>
      <c r="F3" s="6"/>
      <c r="G3" s="6"/>
      <c r="H3" s="6"/>
      <c r="I3" s="6"/>
      <c r="J3" s="7" t="s">
        <v>130</v>
      </c>
    </row>
    <row r="4" spans="1:11" x14ac:dyDescent="0.2">
      <c r="A4" s="8" t="s">
        <v>1</v>
      </c>
    </row>
    <row r="5" spans="1:11" ht="14.25" customHeight="1" x14ac:dyDescent="0.2">
      <c r="A5" s="9" t="s">
        <v>2</v>
      </c>
      <c r="J5" s="10"/>
    </row>
    <row r="6" spans="1:11" ht="14.25" customHeight="1" x14ac:dyDescent="0.2">
      <c r="A6" s="11" t="s">
        <v>3</v>
      </c>
      <c r="B6" s="12"/>
      <c r="C6" s="12"/>
      <c r="D6" s="12"/>
      <c r="E6" s="12"/>
      <c r="F6" s="12"/>
      <c r="G6" s="12"/>
      <c r="H6" s="12"/>
      <c r="I6" s="12"/>
      <c r="J6" s="10" t="s">
        <v>131</v>
      </c>
    </row>
    <row r="7" spans="1:11" ht="14.25" customHeight="1" x14ac:dyDescent="0.2">
      <c r="A7" s="38" t="s">
        <v>132</v>
      </c>
      <c r="B7" s="38"/>
      <c r="C7" s="38"/>
      <c r="D7" s="38"/>
      <c r="E7" s="38"/>
      <c r="F7" s="38"/>
      <c r="G7" s="38"/>
      <c r="H7" s="38"/>
      <c r="I7" s="38"/>
      <c r="J7" s="38"/>
    </row>
    <row r="8" spans="1:11" ht="38.25" x14ac:dyDescent="0.2">
      <c r="A8" s="33" t="s">
        <v>4</v>
      </c>
      <c r="B8" s="33" t="s">
        <v>5</v>
      </c>
      <c r="C8" s="33" t="s">
        <v>6</v>
      </c>
      <c r="D8" s="33" t="s">
        <v>7</v>
      </c>
      <c r="E8" s="33" t="s">
        <v>8</v>
      </c>
      <c r="F8" s="33" t="s">
        <v>9</v>
      </c>
      <c r="G8" s="33" t="s">
        <v>10</v>
      </c>
      <c r="H8" s="33" t="s">
        <v>11</v>
      </c>
      <c r="I8" s="33" t="s">
        <v>12</v>
      </c>
      <c r="J8" s="33" t="s">
        <v>13</v>
      </c>
      <c r="K8" s="13"/>
    </row>
    <row r="9" spans="1:11" ht="13.5" thickBot="1" x14ac:dyDescent="0.25">
      <c r="A9" s="41"/>
      <c r="B9" s="41" t="s">
        <v>14</v>
      </c>
      <c r="C9" s="41" t="s">
        <v>15</v>
      </c>
      <c r="D9" s="41" t="s">
        <v>16</v>
      </c>
      <c r="E9" s="41" t="s">
        <v>17</v>
      </c>
      <c r="F9" s="41" t="s">
        <v>18</v>
      </c>
      <c r="G9" s="41" t="s">
        <v>19</v>
      </c>
      <c r="H9" s="41" t="s">
        <v>20</v>
      </c>
      <c r="I9" s="41" t="s">
        <v>21</v>
      </c>
      <c r="J9" s="41" t="s">
        <v>22</v>
      </c>
      <c r="K9" s="13"/>
    </row>
    <row r="10" spans="1:11" ht="23.1" customHeight="1" x14ac:dyDescent="0.2">
      <c r="A10" s="42" t="s">
        <v>23</v>
      </c>
      <c r="B10" s="43">
        <v>0</v>
      </c>
      <c r="C10" s="44">
        <v>0</v>
      </c>
      <c r="D10" s="44">
        <v>0</v>
      </c>
      <c r="E10" s="45">
        <f t="shared" ref="E10:E107" si="0">+C10-D10</f>
        <v>0</v>
      </c>
      <c r="F10" s="44">
        <v>0</v>
      </c>
      <c r="G10" s="44">
        <v>0</v>
      </c>
      <c r="H10" s="44">
        <v>0</v>
      </c>
      <c r="I10" s="45">
        <f t="shared" ref="I10:I107" si="1">+G10+F10-H10</f>
        <v>0</v>
      </c>
      <c r="J10" s="46">
        <f t="shared" ref="J10:J38" si="2">+B10+E10-I10</f>
        <v>0</v>
      </c>
      <c r="K10" s="17"/>
    </row>
    <row r="11" spans="1:11" ht="23.1" customHeight="1" x14ac:dyDescent="0.2">
      <c r="A11" s="47" t="s">
        <v>24</v>
      </c>
      <c r="B11" s="14">
        <f t="shared" ref="B11:B27" si="3">+J10</f>
        <v>0</v>
      </c>
      <c r="C11" s="15">
        <v>0</v>
      </c>
      <c r="D11" s="15">
        <v>0</v>
      </c>
      <c r="E11" s="16">
        <f t="shared" si="0"/>
        <v>0</v>
      </c>
      <c r="F11" s="15">
        <v>0</v>
      </c>
      <c r="G11" s="15">
        <v>0</v>
      </c>
      <c r="H11" s="15">
        <v>0</v>
      </c>
      <c r="I11" s="16">
        <f t="shared" si="1"/>
        <v>0</v>
      </c>
      <c r="J11" s="48">
        <f t="shared" si="2"/>
        <v>0</v>
      </c>
      <c r="K11" s="17"/>
    </row>
    <row r="12" spans="1:11" ht="23.1" customHeight="1" x14ac:dyDescent="0.2">
      <c r="A12" s="47" t="s">
        <v>25</v>
      </c>
      <c r="B12" s="14">
        <v>17212868.510000002</v>
      </c>
      <c r="C12" s="15">
        <v>0</v>
      </c>
      <c r="D12" s="15">
        <v>0</v>
      </c>
      <c r="E12" s="16">
        <f t="shared" si="0"/>
        <v>0</v>
      </c>
      <c r="F12" s="15">
        <v>0</v>
      </c>
      <c r="G12" s="15">
        <v>0</v>
      </c>
      <c r="H12" s="18">
        <v>0</v>
      </c>
      <c r="I12" s="19">
        <f t="shared" si="1"/>
        <v>0</v>
      </c>
      <c r="J12" s="48">
        <f t="shared" si="2"/>
        <v>17212868.510000002</v>
      </c>
      <c r="K12" s="17"/>
    </row>
    <row r="13" spans="1:11" ht="23.1" customHeight="1" x14ac:dyDescent="0.2">
      <c r="A13" s="47" t="s">
        <v>26</v>
      </c>
      <c r="B13" s="14">
        <f t="shared" si="3"/>
        <v>17212868.510000002</v>
      </c>
      <c r="C13" s="18">
        <f>56123.42+3539.66</f>
        <v>59663.08</v>
      </c>
      <c r="D13" s="18">
        <v>26308.799999999999</v>
      </c>
      <c r="E13" s="19">
        <f t="shared" si="0"/>
        <v>33354.28</v>
      </c>
      <c r="F13" s="18">
        <v>2761806.7</v>
      </c>
      <c r="G13" s="18">
        <v>0</v>
      </c>
      <c r="H13" s="18">
        <v>0</v>
      </c>
      <c r="I13" s="19">
        <f t="shared" si="1"/>
        <v>2761806.7</v>
      </c>
      <c r="J13" s="49">
        <f t="shared" si="2"/>
        <v>14484416.090000004</v>
      </c>
      <c r="K13" s="17"/>
    </row>
    <row r="14" spans="1:11" ht="23.1" customHeight="1" x14ac:dyDescent="0.2">
      <c r="A14" s="47" t="s">
        <v>27</v>
      </c>
      <c r="B14" s="14">
        <f t="shared" si="3"/>
        <v>14484416.090000004</v>
      </c>
      <c r="C14" s="18">
        <v>51930.73</v>
      </c>
      <c r="D14" s="18">
        <f>3539.66+15876.81</f>
        <v>19416.47</v>
      </c>
      <c r="E14" s="19">
        <f t="shared" si="0"/>
        <v>32514.260000000002</v>
      </c>
      <c r="F14" s="18">
        <v>2754581.01</v>
      </c>
      <c r="G14" s="18">
        <v>0</v>
      </c>
      <c r="H14" s="18">
        <v>0</v>
      </c>
      <c r="I14" s="19">
        <f t="shared" si="1"/>
        <v>2754581.01</v>
      </c>
      <c r="J14" s="49">
        <f t="shared" si="2"/>
        <v>11762349.340000004</v>
      </c>
      <c r="K14" s="17"/>
    </row>
    <row r="15" spans="1:11" ht="23.1" customHeight="1" x14ac:dyDescent="0.2">
      <c r="A15" s="47" t="s">
        <v>28</v>
      </c>
      <c r="B15" s="14">
        <f t="shared" si="3"/>
        <v>11762349.340000004</v>
      </c>
      <c r="C15" s="18">
        <f>22693.97+17626.97</f>
        <v>40320.94</v>
      </c>
      <c r="D15" s="18">
        <v>11971.2</v>
      </c>
      <c r="E15" s="19">
        <f t="shared" si="0"/>
        <v>28349.74</v>
      </c>
      <c r="F15" s="18">
        <v>1471595.35</v>
      </c>
      <c r="G15" s="18">
        <v>0</v>
      </c>
      <c r="H15" s="18">
        <v>0</v>
      </c>
      <c r="I15" s="19">
        <f t="shared" si="1"/>
        <v>1471595.35</v>
      </c>
      <c r="J15" s="49">
        <f t="shared" si="2"/>
        <v>10319103.730000004</v>
      </c>
      <c r="K15" s="17"/>
    </row>
    <row r="16" spans="1:11" ht="23.1" customHeight="1" x14ac:dyDescent="0.2">
      <c r="A16" s="47" t="s">
        <v>29</v>
      </c>
      <c r="B16" s="14">
        <f t="shared" si="3"/>
        <v>10319103.730000004</v>
      </c>
      <c r="C16" s="18">
        <v>53348.21</v>
      </c>
      <c r="D16" s="18">
        <f>17626.97+13549.96</f>
        <v>31176.93</v>
      </c>
      <c r="E16" s="19">
        <f t="shared" si="0"/>
        <v>22171.279999999999</v>
      </c>
      <c r="F16" s="18">
        <v>2223031.5499999998</v>
      </c>
      <c r="G16" s="18">
        <v>0</v>
      </c>
      <c r="H16" s="18">
        <v>0</v>
      </c>
      <c r="I16" s="19">
        <f t="shared" si="1"/>
        <v>2223031.5499999998</v>
      </c>
      <c r="J16" s="49">
        <f t="shared" si="2"/>
        <v>8118243.4600000037</v>
      </c>
      <c r="K16" s="17"/>
    </row>
    <row r="17" spans="1:11" ht="23.1" customHeight="1" x14ac:dyDescent="0.2">
      <c r="A17" s="47" t="s">
        <v>30</v>
      </c>
      <c r="B17" s="14">
        <f t="shared" si="3"/>
        <v>8118243.4600000037</v>
      </c>
      <c r="C17" s="18">
        <v>24347.08</v>
      </c>
      <c r="D17" s="18">
        <v>18745.599999999999</v>
      </c>
      <c r="E17" s="19">
        <f t="shared" si="0"/>
        <v>5601.4800000000032</v>
      </c>
      <c r="F17" s="18">
        <v>1996743.83</v>
      </c>
      <c r="G17" s="18">
        <v>0</v>
      </c>
      <c r="H17" s="18">
        <v>0</v>
      </c>
      <c r="I17" s="19">
        <f t="shared" si="1"/>
        <v>1996743.83</v>
      </c>
      <c r="J17" s="49">
        <f t="shared" si="2"/>
        <v>6127101.1100000041</v>
      </c>
      <c r="K17" s="17"/>
    </row>
    <row r="18" spans="1:11" ht="23.1" customHeight="1" x14ac:dyDescent="0.2">
      <c r="A18" s="47" t="s">
        <v>31</v>
      </c>
      <c r="B18" s="14">
        <f t="shared" si="3"/>
        <v>6127101.1100000041</v>
      </c>
      <c r="C18" s="18">
        <v>19527.45</v>
      </c>
      <c r="D18" s="18">
        <v>18281.599999999999</v>
      </c>
      <c r="E18" s="19">
        <f t="shared" si="0"/>
        <v>1245.8500000000022</v>
      </c>
      <c r="F18" s="18">
        <v>2347591.2799999998</v>
      </c>
      <c r="G18" s="18">
        <v>0</v>
      </c>
      <c r="H18" s="18">
        <f>79041</f>
        <v>79041</v>
      </c>
      <c r="I18" s="19">
        <f t="shared" si="1"/>
        <v>2268550.2799999998</v>
      </c>
      <c r="J18" s="49">
        <f t="shared" si="2"/>
        <v>3859796.6800000039</v>
      </c>
      <c r="K18" s="17"/>
    </row>
    <row r="19" spans="1:11" ht="23.1" customHeight="1" x14ac:dyDescent="0.2">
      <c r="A19" s="47" t="s">
        <v>32</v>
      </c>
      <c r="B19" s="14">
        <f t="shared" si="3"/>
        <v>3859796.6800000039</v>
      </c>
      <c r="C19" s="18">
        <f>9853+267.54</f>
        <v>10120.540000000001</v>
      </c>
      <c r="D19" s="18">
        <v>5800</v>
      </c>
      <c r="E19" s="19">
        <f t="shared" si="0"/>
        <v>4320.5400000000009</v>
      </c>
      <c r="F19" s="18">
        <v>1664918.3</v>
      </c>
      <c r="G19" s="18">
        <v>0</v>
      </c>
      <c r="H19" s="18">
        <v>0</v>
      </c>
      <c r="I19" s="19">
        <f t="shared" si="1"/>
        <v>1664918.3</v>
      </c>
      <c r="J19" s="49">
        <f t="shared" si="2"/>
        <v>2199198.9200000037</v>
      </c>
      <c r="K19" s="17"/>
    </row>
    <row r="20" spans="1:11" ht="23.1" customHeight="1" x14ac:dyDescent="0.2">
      <c r="A20" s="50" t="s">
        <v>33</v>
      </c>
      <c r="B20" s="14">
        <v>5715183</v>
      </c>
      <c r="C20" s="18">
        <v>0</v>
      </c>
      <c r="D20" s="18">
        <v>0</v>
      </c>
      <c r="E20" s="19">
        <v>0</v>
      </c>
      <c r="F20" s="18">
        <v>0</v>
      </c>
      <c r="G20" s="18">
        <v>0</v>
      </c>
      <c r="H20" s="18">
        <v>0</v>
      </c>
      <c r="I20" s="19">
        <f t="shared" si="1"/>
        <v>0</v>
      </c>
      <c r="J20" s="49">
        <f>J19+B20</f>
        <v>7914381.9200000037</v>
      </c>
      <c r="K20" s="17"/>
    </row>
    <row r="21" spans="1:11" ht="23.1" customHeight="1" x14ac:dyDescent="0.2">
      <c r="A21" s="47" t="s">
        <v>34</v>
      </c>
      <c r="B21" s="14">
        <f>+J20</f>
        <v>7914381.9200000037</v>
      </c>
      <c r="C21" s="18">
        <v>14141.99</v>
      </c>
      <c r="D21" s="18">
        <f>267.54+29464</f>
        <v>29731.54</v>
      </c>
      <c r="E21" s="19">
        <f t="shared" si="0"/>
        <v>-15589.550000000001</v>
      </c>
      <c r="F21" s="18">
        <v>2101467.61</v>
      </c>
      <c r="G21" s="18">
        <v>0</v>
      </c>
      <c r="H21" s="18">
        <v>0</v>
      </c>
      <c r="I21" s="19">
        <f t="shared" si="1"/>
        <v>2101467.61</v>
      </c>
      <c r="J21" s="49">
        <f t="shared" si="2"/>
        <v>5797324.7600000035</v>
      </c>
      <c r="K21" s="17"/>
    </row>
    <row r="22" spans="1:11" ht="29.25" customHeight="1" x14ac:dyDescent="0.2">
      <c r="A22" s="51" t="s">
        <v>35</v>
      </c>
      <c r="B22" s="14">
        <f t="shared" si="3"/>
        <v>5797324.7600000035</v>
      </c>
      <c r="C22" s="18">
        <v>1682.57</v>
      </c>
      <c r="D22" s="18">
        <v>5800</v>
      </c>
      <c r="E22" s="19">
        <f t="shared" si="0"/>
        <v>-4117.43</v>
      </c>
      <c r="F22" s="18">
        <v>0</v>
      </c>
      <c r="G22" s="18">
        <v>5724912.2800000003</v>
      </c>
      <c r="H22" s="18">
        <v>7993.47</v>
      </c>
      <c r="I22" s="19">
        <f t="shared" si="1"/>
        <v>5716918.8100000005</v>
      </c>
      <c r="J22" s="49">
        <f t="shared" si="2"/>
        <v>76288.520000003278</v>
      </c>
      <c r="K22" s="17"/>
    </row>
    <row r="23" spans="1:11" ht="23.1" customHeight="1" x14ac:dyDescent="0.2">
      <c r="A23" s="47" t="s">
        <v>36</v>
      </c>
      <c r="B23" s="14">
        <f t="shared" si="3"/>
        <v>76288.520000003278</v>
      </c>
      <c r="C23" s="18">
        <f>267.03+17.17</f>
        <v>284.2</v>
      </c>
      <c r="D23" s="18">
        <v>5990.02</v>
      </c>
      <c r="E23" s="19">
        <f t="shared" si="0"/>
        <v>-5705.8200000000006</v>
      </c>
      <c r="F23" s="18">
        <v>0</v>
      </c>
      <c r="G23" s="18">
        <v>0</v>
      </c>
      <c r="H23" s="18">
        <v>0</v>
      </c>
      <c r="I23" s="19">
        <f t="shared" si="1"/>
        <v>0</v>
      </c>
      <c r="J23" s="49">
        <f t="shared" si="2"/>
        <v>70582.700000003271</v>
      </c>
      <c r="K23" s="17"/>
    </row>
    <row r="24" spans="1:11" ht="23.1" customHeight="1" x14ac:dyDescent="0.2">
      <c r="A24" s="47" t="s">
        <v>37</v>
      </c>
      <c r="B24" s="14">
        <f t="shared" si="3"/>
        <v>70582.700000003271</v>
      </c>
      <c r="C24" s="18">
        <f>299.57</f>
        <v>299.57</v>
      </c>
      <c r="D24" s="18">
        <f>5990.02+17.17</f>
        <v>6007.1900000000005</v>
      </c>
      <c r="E24" s="19">
        <f t="shared" si="0"/>
        <v>-5707.6200000000008</v>
      </c>
      <c r="F24" s="18">
        <v>0</v>
      </c>
      <c r="G24" s="18">
        <v>0</v>
      </c>
      <c r="H24" s="18">
        <v>8512.77</v>
      </c>
      <c r="I24" s="19">
        <f t="shared" si="1"/>
        <v>-8512.77</v>
      </c>
      <c r="J24" s="49">
        <f t="shared" si="2"/>
        <v>73387.850000003265</v>
      </c>
      <c r="K24" s="17"/>
    </row>
    <row r="25" spans="1:11" ht="23.1" customHeight="1" x14ac:dyDescent="0.2">
      <c r="A25" s="50" t="s">
        <v>38</v>
      </c>
      <c r="B25" s="14">
        <v>11901314</v>
      </c>
      <c r="C25" s="18">
        <v>0</v>
      </c>
      <c r="D25" s="18">
        <v>0</v>
      </c>
      <c r="E25" s="19">
        <v>0</v>
      </c>
      <c r="F25" s="18">
        <v>0</v>
      </c>
      <c r="G25" s="18">
        <v>0</v>
      </c>
      <c r="H25" s="18">
        <v>0</v>
      </c>
      <c r="I25" s="19">
        <f t="shared" si="1"/>
        <v>0</v>
      </c>
      <c r="J25" s="49">
        <f>J24+B25</f>
        <v>11974701.850000003</v>
      </c>
      <c r="K25" s="17"/>
    </row>
    <row r="26" spans="1:11" ht="23.1" customHeight="1" x14ac:dyDescent="0.2">
      <c r="A26" s="47" t="s">
        <v>39</v>
      </c>
      <c r="B26" s="14">
        <f>+J25</f>
        <v>11974701.850000003</v>
      </c>
      <c r="C26" s="18">
        <v>14709.02</v>
      </c>
      <c r="D26" s="18">
        <f>196.89+5990.02</f>
        <v>6186.9100000000008</v>
      </c>
      <c r="E26" s="19">
        <f t="shared" si="0"/>
        <v>8522.11</v>
      </c>
      <c r="F26" s="18">
        <v>0</v>
      </c>
      <c r="G26" s="18">
        <v>0</v>
      </c>
      <c r="H26" s="18">
        <v>9002.0400000000009</v>
      </c>
      <c r="I26" s="19">
        <f t="shared" si="1"/>
        <v>-9002.0400000000009</v>
      </c>
      <c r="J26" s="49">
        <f t="shared" si="2"/>
        <v>11992226.000000002</v>
      </c>
      <c r="K26" s="17"/>
    </row>
    <row r="27" spans="1:11" ht="23.1" customHeight="1" x14ac:dyDescent="0.2">
      <c r="A27" s="47" t="s">
        <v>40</v>
      </c>
      <c r="B27" s="14">
        <f t="shared" si="3"/>
        <v>11992226.000000002</v>
      </c>
      <c r="C27" s="18">
        <v>44968.03</v>
      </c>
      <c r="D27" s="18">
        <v>5990.02</v>
      </c>
      <c r="E27" s="19">
        <f t="shared" si="0"/>
        <v>38978.009999999995</v>
      </c>
      <c r="F27" s="18">
        <v>0</v>
      </c>
      <c r="G27" s="18">
        <v>0</v>
      </c>
      <c r="H27" s="18">
        <v>0</v>
      </c>
      <c r="I27" s="19">
        <f t="shared" si="1"/>
        <v>0</v>
      </c>
      <c r="J27" s="49">
        <f t="shared" si="2"/>
        <v>12031204.010000002</v>
      </c>
      <c r="K27" s="17"/>
    </row>
    <row r="28" spans="1:11" ht="23.1" customHeight="1" x14ac:dyDescent="0.2">
      <c r="A28" s="50" t="s">
        <v>41</v>
      </c>
      <c r="B28" s="14">
        <v>41564692.240000002</v>
      </c>
      <c r="C28" s="18">
        <v>0</v>
      </c>
      <c r="D28" s="18">
        <v>0</v>
      </c>
      <c r="E28" s="19">
        <f t="shared" si="0"/>
        <v>0</v>
      </c>
      <c r="F28" s="18">
        <v>0</v>
      </c>
      <c r="G28" s="18">
        <v>0</v>
      </c>
      <c r="H28" s="18">
        <v>0</v>
      </c>
      <c r="I28" s="19">
        <v>0</v>
      </c>
      <c r="J28" s="49">
        <f>J27+B28</f>
        <v>53595896.25</v>
      </c>
      <c r="K28" s="17"/>
    </row>
    <row r="29" spans="1:11" ht="23.1" customHeight="1" x14ac:dyDescent="0.2">
      <c r="A29" s="47" t="s">
        <v>42</v>
      </c>
      <c r="B29" s="14">
        <f t="shared" ref="B29:B38" si="4">+J28</f>
        <v>53595896.25</v>
      </c>
      <c r="C29" s="18">
        <v>120461.56</v>
      </c>
      <c r="D29" s="18">
        <v>10258.82</v>
      </c>
      <c r="E29" s="19">
        <f t="shared" si="0"/>
        <v>110202.73999999999</v>
      </c>
      <c r="F29" s="18">
        <v>995613.12</v>
      </c>
      <c r="G29" s="18">
        <v>0</v>
      </c>
      <c r="H29" s="18">
        <v>0</v>
      </c>
      <c r="I29" s="19">
        <f t="shared" si="1"/>
        <v>995613.12</v>
      </c>
      <c r="J29" s="49">
        <f t="shared" si="2"/>
        <v>52710485.870000005</v>
      </c>
      <c r="K29" s="17"/>
    </row>
    <row r="30" spans="1:11" ht="23.1" customHeight="1" x14ac:dyDescent="0.2">
      <c r="A30" s="47" t="s">
        <v>43</v>
      </c>
      <c r="B30" s="14">
        <f t="shared" si="4"/>
        <v>52710485.870000005</v>
      </c>
      <c r="C30" s="18">
        <f>116506.91+74452.41</f>
        <v>190959.32</v>
      </c>
      <c r="D30" s="18">
        <v>13970.82</v>
      </c>
      <c r="E30" s="19">
        <f t="shared" si="0"/>
        <v>176988.5</v>
      </c>
      <c r="F30" s="18">
        <v>2080731.09</v>
      </c>
      <c r="G30" s="18">
        <v>0</v>
      </c>
      <c r="H30" s="18">
        <v>40951.93</v>
      </c>
      <c r="I30" s="19">
        <f t="shared" si="1"/>
        <v>2039779.1600000001</v>
      </c>
      <c r="J30" s="49">
        <f t="shared" si="2"/>
        <v>50847695.210000008</v>
      </c>
      <c r="K30" s="17"/>
    </row>
    <row r="31" spans="1:11" ht="23.1" customHeight="1" x14ac:dyDescent="0.2">
      <c r="A31" s="47" t="s">
        <v>44</v>
      </c>
      <c r="B31" s="14">
        <f t="shared" si="4"/>
        <v>50847695.210000008</v>
      </c>
      <c r="C31" s="18">
        <f>264511.69-74452.41</f>
        <v>190059.28</v>
      </c>
      <c r="D31" s="18">
        <v>11790.02</v>
      </c>
      <c r="E31" s="19">
        <f t="shared" si="0"/>
        <v>178269.26</v>
      </c>
      <c r="F31" s="18">
        <v>1039729.02</v>
      </c>
      <c r="G31" s="18">
        <v>0</v>
      </c>
      <c r="H31" s="18">
        <v>0</v>
      </c>
      <c r="I31" s="19">
        <f t="shared" si="1"/>
        <v>1039729.02</v>
      </c>
      <c r="J31" s="49">
        <f t="shared" si="2"/>
        <v>49986235.450000003</v>
      </c>
      <c r="K31" s="17"/>
    </row>
    <row r="32" spans="1:11" ht="23.1" customHeight="1" x14ac:dyDescent="0.2">
      <c r="A32" s="47" t="s">
        <v>45</v>
      </c>
      <c r="B32" s="14">
        <f t="shared" si="4"/>
        <v>49986235.450000003</v>
      </c>
      <c r="C32" s="18">
        <v>174501.79</v>
      </c>
      <c r="D32" s="18">
        <v>12578.82</v>
      </c>
      <c r="E32" s="19">
        <f t="shared" si="0"/>
        <v>161922.97</v>
      </c>
      <c r="F32" s="18">
        <v>1526353.38</v>
      </c>
      <c r="G32" s="18">
        <v>0</v>
      </c>
      <c r="H32" s="18">
        <v>63880.01</v>
      </c>
      <c r="I32" s="19">
        <f t="shared" si="1"/>
        <v>1462473.3699999999</v>
      </c>
      <c r="J32" s="49">
        <f t="shared" si="2"/>
        <v>48685685.050000004</v>
      </c>
      <c r="K32" s="17"/>
    </row>
    <row r="33" spans="1:11" ht="23.1" customHeight="1" x14ac:dyDescent="0.2">
      <c r="A33" s="47" t="s">
        <v>46</v>
      </c>
      <c r="B33" s="14">
        <f t="shared" si="4"/>
        <v>48685685.050000004</v>
      </c>
      <c r="C33" s="18">
        <f>176594.44+5878.26</f>
        <v>182472.7</v>
      </c>
      <c r="D33" s="18">
        <v>12068.42</v>
      </c>
      <c r="E33" s="19">
        <f t="shared" si="0"/>
        <v>170404.28</v>
      </c>
      <c r="F33" s="18">
        <v>1231916.8</v>
      </c>
      <c r="G33" s="18">
        <v>0</v>
      </c>
      <c r="H33" s="18">
        <v>476519.99</v>
      </c>
      <c r="I33" s="19">
        <f t="shared" si="1"/>
        <v>755396.81</v>
      </c>
      <c r="J33" s="49">
        <f t="shared" si="2"/>
        <v>48100692.520000003</v>
      </c>
      <c r="K33" s="17"/>
    </row>
    <row r="34" spans="1:11" ht="23.1" customHeight="1" x14ac:dyDescent="0.2">
      <c r="A34" s="47" t="s">
        <v>47</v>
      </c>
      <c r="B34" s="14">
        <f t="shared" si="4"/>
        <v>48100692.520000003</v>
      </c>
      <c r="C34" s="18">
        <f>180643.42-5878.26</f>
        <v>174765.16</v>
      </c>
      <c r="D34" s="18">
        <v>10490.82</v>
      </c>
      <c r="E34" s="19">
        <f t="shared" si="0"/>
        <v>164274.34</v>
      </c>
      <c r="F34" s="18">
        <v>805542.57</v>
      </c>
      <c r="G34" s="18">
        <v>0</v>
      </c>
      <c r="H34" s="18">
        <v>0</v>
      </c>
      <c r="I34" s="19">
        <f t="shared" si="1"/>
        <v>805542.57</v>
      </c>
      <c r="J34" s="49">
        <f t="shared" si="2"/>
        <v>47459424.290000007</v>
      </c>
      <c r="K34" s="17"/>
    </row>
    <row r="35" spans="1:11" ht="23.1" customHeight="1" x14ac:dyDescent="0.2">
      <c r="A35" s="47" t="s">
        <v>48</v>
      </c>
      <c r="B35" s="14">
        <f t="shared" si="4"/>
        <v>47459424.290000007</v>
      </c>
      <c r="C35" s="18">
        <v>176769.94</v>
      </c>
      <c r="D35" s="18">
        <v>12578.82</v>
      </c>
      <c r="E35" s="19">
        <f t="shared" si="0"/>
        <v>164191.12</v>
      </c>
      <c r="F35" s="18">
        <v>1277543.28</v>
      </c>
      <c r="G35" s="18">
        <v>0</v>
      </c>
      <c r="H35" s="18">
        <v>32378.3</v>
      </c>
      <c r="I35" s="19">
        <f t="shared" si="1"/>
        <v>1245164.98</v>
      </c>
      <c r="J35" s="49">
        <f t="shared" si="2"/>
        <v>46378450.430000007</v>
      </c>
      <c r="K35" s="17"/>
    </row>
    <row r="36" spans="1:11" ht="23.1" customHeight="1" x14ac:dyDescent="0.2">
      <c r="A36" s="47" t="s">
        <v>49</v>
      </c>
      <c r="B36" s="14">
        <f t="shared" si="4"/>
        <v>46378450.430000007</v>
      </c>
      <c r="C36" s="18">
        <f>161580.87+5432.89</f>
        <v>167013.76000000001</v>
      </c>
      <c r="D36" s="18">
        <v>13831.62</v>
      </c>
      <c r="E36" s="19">
        <f t="shared" si="0"/>
        <v>153182.14000000001</v>
      </c>
      <c r="F36" s="18">
        <v>1359069.98</v>
      </c>
      <c r="G36" s="18">
        <v>0</v>
      </c>
      <c r="H36" s="18">
        <v>2426</v>
      </c>
      <c r="I36" s="19">
        <f t="shared" si="1"/>
        <v>1356643.98</v>
      </c>
      <c r="J36" s="49">
        <f t="shared" si="2"/>
        <v>45174988.590000011</v>
      </c>
      <c r="K36" s="17"/>
    </row>
    <row r="37" spans="1:11" ht="23.1" customHeight="1" x14ac:dyDescent="0.2">
      <c r="A37" s="47" t="s">
        <v>50</v>
      </c>
      <c r="B37" s="14">
        <f t="shared" si="4"/>
        <v>45174988.590000011</v>
      </c>
      <c r="C37" s="18">
        <f>174311.31-5432.89</f>
        <v>168878.41999999998</v>
      </c>
      <c r="D37" s="18">
        <v>9794.82</v>
      </c>
      <c r="E37" s="19">
        <f t="shared" si="0"/>
        <v>159083.59999999998</v>
      </c>
      <c r="F37" s="18">
        <v>716314.53</v>
      </c>
      <c r="G37" s="18">
        <v>0</v>
      </c>
      <c r="H37" s="18">
        <v>20129.060000000001</v>
      </c>
      <c r="I37" s="19">
        <f t="shared" si="1"/>
        <v>696185.47</v>
      </c>
      <c r="J37" s="49">
        <f t="shared" si="2"/>
        <v>44637886.720000014</v>
      </c>
      <c r="K37" s="17"/>
    </row>
    <row r="38" spans="1:11" ht="23.1" customHeight="1" x14ac:dyDescent="0.2">
      <c r="A38" s="47" t="s">
        <v>51</v>
      </c>
      <c r="B38" s="14">
        <f t="shared" si="4"/>
        <v>44637886.720000014</v>
      </c>
      <c r="C38" s="18">
        <v>181572.08</v>
      </c>
      <c r="D38" s="18">
        <v>13646.02</v>
      </c>
      <c r="E38" s="19">
        <f t="shared" si="0"/>
        <v>167926.06</v>
      </c>
      <c r="F38" s="18">
        <v>2199574.25</v>
      </c>
      <c r="G38" s="18">
        <v>0</v>
      </c>
      <c r="H38" s="18">
        <v>17525673.57</v>
      </c>
      <c r="I38" s="19">
        <f t="shared" si="1"/>
        <v>-15326099.32</v>
      </c>
      <c r="J38" s="49">
        <f t="shared" si="2"/>
        <v>60131912.100000016</v>
      </c>
      <c r="K38" s="17"/>
    </row>
    <row r="39" spans="1:11" ht="23.1" customHeight="1" x14ac:dyDescent="0.2">
      <c r="A39" s="50" t="s">
        <v>52</v>
      </c>
      <c r="B39" s="14">
        <v>1212857</v>
      </c>
      <c r="C39" s="18">
        <f>3375.74+3691.02</f>
        <v>7066.76</v>
      </c>
      <c r="D39" s="18">
        <v>0</v>
      </c>
      <c r="E39" s="19">
        <f t="shared" si="0"/>
        <v>7066.76</v>
      </c>
      <c r="F39" s="18">
        <v>0</v>
      </c>
      <c r="G39" s="18">
        <v>0</v>
      </c>
      <c r="H39" s="18">
        <v>0</v>
      </c>
      <c r="I39" s="19">
        <f t="shared" si="1"/>
        <v>0</v>
      </c>
      <c r="J39" s="49">
        <f>+B39+E39-I39+J38</f>
        <v>61351835.860000014</v>
      </c>
      <c r="K39" s="17"/>
    </row>
    <row r="40" spans="1:11" ht="23.1" customHeight="1" x14ac:dyDescent="0.2">
      <c r="A40" s="50" t="s">
        <v>53</v>
      </c>
      <c r="B40" s="14">
        <f t="shared" ref="B40:B50" si="5">+J39</f>
        <v>61351835.860000014</v>
      </c>
      <c r="C40" s="18">
        <v>214480.06</v>
      </c>
      <c r="D40" s="18">
        <v>14202.82</v>
      </c>
      <c r="E40" s="19">
        <f t="shared" si="0"/>
        <v>200277.24</v>
      </c>
      <c r="F40" s="18">
        <v>3156674.48</v>
      </c>
      <c r="G40" s="18">
        <v>0</v>
      </c>
      <c r="H40" s="18">
        <v>164878.26</v>
      </c>
      <c r="I40" s="19">
        <f t="shared" si="1"/>
        <v>2991796.2199999997</v>
      </c>
      <c r="J40" s="49">
        <f t="shared" ref="J40:J107" si="6">+B40+E40-I40</f>
        <v>58560316.880000018</v>
      </c>
      <c r="K40" s="17"/>
    </row>
    <row r="41" spans="1:11" ht="23.1" customHeight="1" x14ac:dyDescent="0.2">
      <c r="A41" s="47" t="s">
        <v>54</v>
      </c>
      <c r="B41" s="14">
        <f t="shared" si="5"/>
        <v>58560316.880000018</v>
      </c>
      <c r="C41" s="18">
        <f>231863.08-14213.69</f>
        <v>217649.38999999998</v>
      </c>
      <c r="D41" s="18">
        <v>16615.62</v>
      </c>
      <c r="E41" s="19">
        <f t="shared" si="0"/>
        <v>201033.77</v>
      </c>
      <c r="F41" s="18">
        <v>1806979.32</v>
      </c>
      <c r="G41" s="18">
        <v>0</v>
      </c>
      <c r="H41" s="18">
        <v>1617.2</v>
      </c>
      <c r="I41" s="19">
        <f t="shared" si="1"/>
        <v>1805362.12</v>
      </c>
      <c r="J41" s="49">
        <f t="shared" si="6"/>
        <v>56955988.530000024</v>
      </c>
      <c r="K41" s="17"/>
    </row>
    <row r="42" spans="1:11" ht="23.1" customHeight="1" x14ac:dyDescent="0.2">
      <c r="A42" s="47" t="s">
        <v>55</v>
      </c>
      <c r="B42" s="14">
        <f t="shared" si="5"/>
        <v>56955988.530000024</v>
      </c>
      <c r="C42" s="18">
        <v>205691.94</v>
      </c>
      <c r="D42" s="18">
        <v>14342.02</v>
      </c>
      <c r="E42" s="19">
        <f t="shared" si="0"/>
        <v>191349.92</v>
      </c>
      <c r="F42" s="18">
        <v>2134476.38</v>
      </c>
      <c r="G42" s="18">
        <v>0</v>
      </c>
      <c r="H42" s="18">
        <v>245961.12</v>
      </c>
      <c r="I42" s="19">
        <f t="shared" si="1"/>
        <v>1888515.2599999998</v>
      </c>
      <c r="J42" s="49">
        <f t="shared" si="6"/>
        <v>55258823.190000027</v>
      </c>
      <c r="K42" s="17"/>
    </row>
    <row r="43" spans="1:11" ht="23.1" customHeight="1" x14ac:dyDescent="0.2">
      <c r="A43" s="47" t="s">
        <v>56</v>
      </c>
      <c r="B43" s="14">
        <f t="shared" si="5"/>
        <v>55258823.190000027</v>
      </c>
      <c r="C43" s="18">
        <f>110880.29+90736.86</f>
        <v>201617.15</v>
      </c>
      <c r="D43" s="18">
        <v>15316.42</v>
      </c>
      <c r="E43" s="19">
        <f t="shared" si="0"/>
        <v>186300.72999999998</v>
      </c>
      <c r="F43" s="18">
        <v>2364476.48</v>
      </c>
      <c r="G43" s="18">
        <v>0</v>
      </c>
      <c r="H43" s="18">
        <v>38125.64</v>
      </c>
      <c r="I43" s="19">
        <f t="shared" si="1"/>
        <v>2326350.84</v>
      </c>
      <c r="J43" s="49">
        <f t="shared" si="6"/>
        <v>53118773.080000028</v>
      </c>
      <c r="K43" s="17"/>
    </row>
    <row r="44" spans="1:11" ht="23.1" customHeight="1" x14ac:dyDescent="0.2">
      <c r="A44" s="47" t="s">
        <v>57</v>
      </c>
      <c r="B44" s="14">
        <f t="shared" si="5"/>
        <v>53118773.080000028</v>
      </c>
      <c r="C44" s="18">
        <f>288381.31-90736.86</f>
        <v>197644.45</v>
      </c>
      <c r="D44" s="18">
        <v>14666.82</v>
      </c>
      <c r="E44" s="19">
        <f t="shared" si="0"/>
        <v>182977.63</v>
      </c>
      <c r="F44" s="18">
        <v>1730815.06</v>
      </c>
      <c r="G44" s="18">
        <v>0</v>
      </c>
      <c r="H44" s="18">
        <v>24151.45</v>
      </c>
      <c r="I44" s="19">
        <f t="shared" si="1"/>
        <v>1706663.61</v>
      </c>
      <c r="J44" s="49">
        <f t="shared" si="6"/>
        <v>51595087.100000031</v>
      </c>
      <c r="K44" s="17"/>
    </row>
    <row r="45" spans="1:11" ht="23.1" customHeight="1" x14ac:dyDescent="0.2">
      <c r="A45" s="47" t="s">
        <v>58</v>
      </c>
      <c r="B45" s="14">
        <f t="shared" si="5"/>
        <v>51595087.100000031</v>
      </c>
      <c r="C45" s="18">
        <v>172155.54</v>
      </c>
      <c r="D45" s="18">
        <v>14156.42</v>
      </c>
      <c r="E45" s="19">
        <f t="shared" si="0"/>
        <v>157999.12</v>
      </c>
      <c r="F45" s="18">
        <v>2058421.43</v>
      </c>
      <c r="G45" s="18">
        <v>0</v>
      </c>
      <c r="H45" s="18">
        <v>25578.55</v>
      </c>
      <c r="I45" s="19">
        <f t="shared" si="1"/>
        <v>2032842.88</v>
      </c>
      <c r="J45" s="49">
        <f t="shared" si="6"/>
        <v>49720243.340000026</v>
      </c>
      <c r="K45" s="17"/>
    </row>
    <row r="46" spans="1:11" ht="23.1" customHeight="1" x14ac:dyDescent="0.2">
      <c r="A46" s="47" t="s">
        <v>59</v>
      </c>
      <c r="B46" s="14">
        <f t="shared" si="5"/>
        <v>49720243.340000026</v>
      </c>
      <c r="C46" s="18">
        <f>116622.67+52501.4</f>
        <v>169124.07</v>
      </c>
      <c r="D46" s="18">
        <v>13785.22</v>
      </c>
      <c r="E46" s="19">
        <f t="shared" si="0"/>
        <v>155338.85</v>
      </c>
      <c r="F46" s="18">
        <v>1361146.87</v>
      </c>
      <c r="G46" s="18">
        <v>0</v>
      </c>
      <c r="H46" s="18">
        <v>900</v>
      </c>
      <c r="I46" s="19">
        <f t="shared" si="1"/>
        <v>1360246.87</v>
      </c>
      <c r="J46" s="49">
        <f t="shared" si="6"/>
        <v>48515335.32000003</v>
      </c>
      <c r="K46" s="17"/>
    </row>
    <row r="47" spans="1:11" ht="23.1" customHeight="1" x14ac:dyDescent="0.2">
      <c r="A47" s="47" t="s">
        <v>60</v>
      </c>
      <c r="B47" s="14">
        <f t="shared" si="5"/>
        <v>48515335.32000003</v>
      </c>
      <c r="C47" s="18">
        <f>207215.13-52501.4</f>
        <v>154713.73000000001</v>
      </c>
      <c r="D47" s="18">
        <v>14949.05</v>
      </c>
      <c r="E47" s="19">
        <f t="shared" si="0"/>
        <v>139764.68000000002</v>
      </c>
      <c r="F47" s="18">
        <v>1872386.17</v>
      </c>
      <c r="G47" s="18">
        <v>0</v>
      </c>
      <c r="H47" s="18">
        <v>5687.4</v>
      </c>
      <c r="I47" s="19">
        <f t="shared" si="1"/>
        <v>1866698.77</v>
      </c>
      <c r="J47" s="49">
        <f t="shared" si="6"/>
        <v>46788401.230000027</v>
      </c>
      <c r="K47" s="17"/>
    </row>
    <row r="48" spans="1:11" ht="23.1" customHeight="1" x14ac:dyDescent="0.2">
      <c r="A48" s="47" t="s">
        <v>61</v>
      </c>
      <c r="B48" s="14">
        <f t="shared" si="5"/>
        <v>46788401.230000027</v>
      </c>
      <c r="C48" s="18">
        <v>153724.24</v>
      </c>
      <c r="D48" s="18">
        <v>13698.8</v>
      </c>
      <c r="E48" s="19">
        <f t="shared" si="0"/>
        <v>140025.44</v>
      </c>
      <c r="F48" s="18">
        <v>1754235.72</v>
      </c>
      <c r="G48" s="18">
        <v>0</v>
      </c>
      <c r="H48" s="18">
        <v>1154658.47</v>
      </c>
      <c r="I48" s="19">
        <f t="shared" si="1"/>
        <v>599577.25</v>
      </c>
      <c r="J48" s="49">
        <f t="shared" si="6"/>
        <v>46328849.420000024</v>
      </c>
      <c r="K48" s="17"/>
    </row>
    <row r="49" spans="1:11" ht="23.1" customHeight="1" x14ac:dyDescent="0.2">
      <c r="A49" s="47" t="s">
        <v>62</v>
      </c>
      <c r="B49" s="14">
        <f t="shared" si="5"/>
        <v>46328849.420000024</v>
      </c>
      <c r="C49" s="18">
        <v>147284.6</v>
      </c>
      <c r="D49" s="18">
        <v>11372.42</v>
      </c>
      <c r="E49" s="19">
        <f t="shared" si="0"/>
        <v>135912.18</v>
      </c>
      <c r="F49" s="18">
        <v>1156064.82</v>
      </c>
      <c r="G49" s="18">
        <v>0</v>
      </c>
      <c r="H49" s="18">
        <v>1800</v>
      </c>
      <c r="I49" s="19">
        <f t="shared" si="1"/>
        <v>1154264.82</v>
      </c>
      <c r="J49" s="49">
        <f t="shared" si="6"/>
        <v>45310496.780000024</v>
      </c>
      <c r="K49" s="17"/>
    </row>
    <row r="50" spans="1:11" ht="23.1" customHeight="1" x14ac:dyDescent="0.2">
      <c r="A50" s="47" t="s">
        <v>63</v>
      </c>
      <c r="B50" s="14">
        <f t="shared" si="5"/>
        <v>45310496.780000024</v>
      </c>
      <c r="C50" s="18">
        <f>160302.23-9714.5</f>
        <v>150587.73000000001</v>
      </c>
      <c r="D50" s="18">
        <v>10403.120000000001</v>
      </c>
      <c r="E50" s="19">
        <f t="shared" si="0"/>
        <v>140184.61000000002</v>
      </c>
      <c r="F50" s="18">
        <v>859923.45</v>
      </c>
      <c r="G50" s="18">
        <v>0</v>
      </c>
      <c r="H50" s="18">
        <v>85691.3</v>
      </c>
      <c r="I50" s="19">
        <f t="shared" si="1"/>
        <v>774232.14999999991</v>
      </c>
      <c r="J50" s="49">
        <f t="shared" si="6"/>
        <v>44676449.240000024</v>
      </c>
      <c r="K50" s="17"/>
    </row>
    <row r="51" spans="1:11" ht="23.1" customHeight="1" x14ac:dyDescent="0.2">
      <c r="A51" s="50" t="s">
        <v>64</v>
      </c>
      <c r="B51" s="14">
        <v>14000000</v>
      </c>
      <c r="C51" s="18">
        <v>0</v>
      </c>
      <c r="D51" s="18">
        <v>0</v>
      </c>
      <c r="E51" s="19">
        <f>+C51-D51</f>
        <v>0</v>
      </c>
      <c r="F51" s="18">
        <v>0</v>
      </c>
      <c r="G51" s="18">
        <v>0</v>
      </c>
      <c r="H51" s="18">
        <v>0</v>
      </c>
      <c r="I51" s="19">
        <f>+G51+F51-H51</f>
        <v>0</v>
      </c>
      <c r="J51" s="49">
        <f>+B51+E51-I51+J50</f>
        <v>58676449.240000024</v>
      </c>
      <c r="K51" s="17"/>
    </row>
    <row r="52" spans="1:11" ht="23.1" customHeight="1" x14ac:dyDescent="0.2">
      <c r="A52" s="47" t="s">
        <v>65</v>
      </c>
      <c r="B52" s="14">
        <f>+J51</f>
        <v>58676449.240000024</v>
      </c>
      <c r="C52" s="18">
        <f>164975.59+6213.92</f>
        <v>171189.51</v>
      </c>
      <c r="D52" s="18">
        <v>9753.52</v>
      </c>
      <c r="E52" s="19">
        <f t="shared" si="0"/>
        <v>161435.99000000002</v>
      </c>
      <c r="F52" s="18">
        <v>878915.43</v>
      </c>
      <c r="G52" s="18">
        <v>0</v>
      </c>
      <c r="H52" s="18">
        <v>900</v>
      </c>
      <c r="I52" s="19">
        <f t="shared" si="1"/>
        <v>878015.43</v>
      </c>
      <c r="J52" s="49">
        <f t="shared" si="6"/>
        <v>57959869.800000027</v>
      </c>
      <c r="K52" s="17"/>
    </row>
    <row r="53" spans="1:11" ht="23.1" customHeight="1" x14ac:dyDescent="0.2">
      <c r="A53" s="47" t="s">
        <v>66</v>
      </c>
      <c r="B53" s="14">
        <f>+J52</f>
        <v>57959869.800000027</v>
      </c>
      <c r="C53" s="18">
        <v>175996.25999999998</v>
      </c>
      <c r="D53" s="18">
        <v>8407.92</v>
      </c>
      <c r="E53" s="19">
        <f t="shared" si="0"/>
        <v>167588.33999999997</v>
      </c>
      <c r="F53" s="18">
        <v>1494673.93</v>
      </c>
      <c r="G53" s="18">
        <v>0</v>
      </c>
      <c r="H53" s="18">
        <v>118557.33</v>
      </c>
      <c r="I53" s="19">
        <f t="shared" si="1"/>
        <v>1376116.5999999999</v>
      </c>
      <c r="J53" s="49">
        <f t="shared" si="6"/>
        <v>56751341.540000029</v>
      </c>
      <c r="K53" s="17"/>
    </row>
    <row r="54" spans="1:11" ht="23.1" customHeight="1" x14ac:dyDescent="0.2">
      <c r="A54" s="50" t="s">
        <v>67</v>
      </c>
      <c r="B54" s="14">
        <v>5152169</v>
      </c>
      <c r="C54" s="18">
        <v>0</v>
      </c>
      <c r="D54" s="18">
        <v>0</v>
      </c>
      <c r="E54" s="19">
        <f t="shared" si="0"/>
        <v>0</v>
      </c>
      <c r="F54" s="18">
        <v>0</v>
      </c>
      <c r="G54" s="18">
        <v>0</v>
      </c>
      <c r="H54" s="18">
        <v>0</v>
      </c>
      <c r="I54" s="19">
        <f t="shared" si="1"/>
        <v>0</v>
      </c>
      <c r="J54" s="49">
        <f>+B54+E54-I54+J53</f>
        <v>61903510.540000029</v>
      </c>
      <c r="K54" s="17"/>
    </row>
    <row r="55" spans="1:11" ht="23.1" customHeight="1" x14ac:dyDescent="0.2">
      <c r="A55" s="47" t="s">
        <v>68</v>
      </c>
      <c r="B55" s="14">
        <f>+J53+B54</f>
        <v>61903510.540000029</v>
      </c>
      <c r="C55" s="18">
        <v>182327.19</v>
      </c>
      <c r="D55" s="18">
        <v>18801.52</v>
      </c>
      <c r="E55" s="19">
        <f t="shared" si="0"/>
        <v>163525.67000000001</v>
      </c>
      <c r="F55" s="18">
        <v>2619118.9700000002</v>
      </c>
      <c r="G55" s="18">
        <v>0</v>
      </c>
      <c r="H55" s="18">
        <v>0</v>
      </c>
      <c r="I55" s="19">
        <f t="shared" si="1"/>
        <v>2619118.9700000002</v>
      </c>
      <c r="J55" s="49">
        <f t="shared" si="6"/>
        <v>59447917.240000032</v>
      </c>
      <c r="K55" s="17"/>
    </row>
    <row r="56" spans="1:11" ht="23.1" customHeight="1" x14ac:dyDescent="0.2">
      <c r="A56" s="47" t="s">
        <v>69</v>
      </c>
      <c r="B56" s="14">
        <f>+J55</f>
        <v>59447917.240000032</v>
      </c>
      <c r="C56" s="18">
        <f>159389.1+5344.25</f>
        <v>164733.35</v>
      </c>
      <c r="D56" s="18">
        <v>16899.12</v>
      </c>
      <c r="E56" s="19">
        <f t="shared" si="0"/>
        <v>147834.23000000001</v>
      </c>
      <c r="F56" s="18">
        <v>2628220.16</v>
      </c>
      <c r="G56" s="18">
        <v>0</v>
      </c>
      <c r="H56" s="18">
        <v>127673.67</v>
      </c>
      <c r="I56" s="19">
        <f t="shared" si="1"/>
        <v>2500546.4900000002</v>
      </c>
      <c r="J56" s="49">
        <f t="shared" si="6"/>
        <v>57095204.980000027</v>
      </c>
      <c r="K56" s="17"/>
    </row>
    <row r="57" spans="1:11" ht="23.1" customHeight="1" x14ac:dyDescent="0.2">
      <c r="A57" s="50" t="s">
        <v>70</v>
      </c>
      <c r="B57" s="14">
        <v>5844574</v>
      </c>
      <c r="C57" s="18">
        <v>0</v>
      </c>
      <c r="D57" s="18">
        <v>0</v>
      </c>
      <c r="E57" s="19">
        <f t="shared" si="0"/>
        <v>0</v>
      </c>
      <c r="F57" s="18">
        <v>0</v>
      </c>
      <c r="G57" s="18">
        <v>0</v>
      </c>
      <c r="H57" s="18">
        <v>0</v>
      </c>
      <c r="I57" s="19">
        <f t="shared" si="1"/>
        <v>0</v>
      </c>
      <c r="J57" s="49">
        <f>J56+B57</f>
        <v>62939778.980000027</v>
      </c>
      <c r="K57" s="17"/>
    </row>
    <row r="58" spans="1:11" ht="23.1" customHeight="1" x14ac:dyDescent="0.2">
      <c r="A58" s="50" t="s">
        <v>71</v>
      </c>
      <c r="B58" s="14">
        <v>62939778.980000027</v>
      </c>
      <c r="C58" s="18">
        <v>172123.11</v>
      </c>
      <c r="D58" s="18">
        <v>14393.52</v>
      </c>
      <c r="E58" s="19">
        <f t="shared" si="0"/>
        <v>157729.59</v>
      </c>
      <c r="F58" s="18">
        <v>1874716.86</v>
      </c>
      <c r="G58" s="18">
        <v>0</v>
      </c>
      <c r="H58" s="18">
        <v>41300.660000000003</v>
      </c>
      <c r="I58" s="19">
        <f t="shared" si="1"/>
        <v>1833416.2000000002</v>
      </c>
      <c r="J58" s="49">
        <v>61264092.370000027</v>
      </c>
      <c r="K58" s="17"/>
    </row>
    <row r="59" spans="1:11" ht="23.1" customHeight="1" x14ac:dyDescent="0.2">
      <c r="A59" s="47" t="s">
        <v>72</v>
      </c>
      <c r="B59" s="14">
        <f t="shared" ref="B59:B69" si="7">+J58</f>
        <v>61264092.370000027</v>
      </c>
      <c r="C59" s="18">
        <f>264051.48-86668.02</f>
        <v>177383.45999999996</v>
      </c>
      <c r="D59" s="18">
        <v>13697.52</v>
      </c>
      <c r="E59" s="19">
        <f t="shared" si="0"/>
        <v>163685.93999999997</v>
      </c>
      <c r="F59" s="18">
        <v>1111245.53</v>
      </c>
      <c r="G59" s="18">
        <v>0</v>
      </c>
      <c r="H59" s="18">
        <v>140702.81</v>
      </c>
      <c r="I59" s="19">
        <f t="shared" si="1"/>
        <v>970542.72</v>
      </c>
      <c r="J59" s="49">
        <f t="shared" si="6"/>
        <v>60457235.590000026</v>
      </c>
      <c r="K59" s="17"/>
    </row>
    <row r="60" spans="1:11" ht="23.1" customHeight="1" x14ac:dyDescent="0.2">
      <c r="A60" s="47" t="s">
        <v>73</v>
      </c>
      <c r="B60" s="14">
        <f t="shared" si="7"/>
        <v>60457235.590000026</v>
      </c>
      <c r="C60" s="18">
        <v>157123.43</v>
      </c>
      <c r="D60" s="18">
        <v>11748.72</v>
      </c>
      <c r="E60" s="19">
        <f t="shared" si="0"/>
        <v>145374.71</v>
      </c>
      <c r="F60" s="18">
        <v>1685412.56</v>
      </c>
      <c r="G60" s="18">
        <v>0</v>
      </c>
      <c r="H60" s="18">
        <v>47108.93</v>
      </c>
      <c r="I60" s="19">
        <f t="shared" si="1"/>
        <v>1638303.6300000001</v>
      </c>
      <c r="J60" s="49">
        <f t="shared" si="6"/>
        <v>58964306.670000024</v>
      </c>
      <c r="K60" s="17"/>
    </row>
    <row r="61" spans="1:11" ht="23.1" customHeight="1" x14ac:dyDescent="0.25">
      <c r="A61" s="47" t="s">
        <v>74</v>
      </c>
      <c r="B61" s="14">
        <f t="shared" si="7"/>
        <v>58964306.670000024</v>
      </c>
      <c r="C61" s="20">
        <v>169194.03</v>
      </c>
      <c r="D61" s="18">
        <v>20654.16</v>
      </c>
      <c r="E61" s="19">
        <f t="shared" si="0"/>
        <v>148539.87</v>
      </c>
      <c r="F61" s="18">
        <v>2339155.11</v>
      </c>
      <c r="G61" s="18">
        <v>0</v>
      </c>
      <c r="H61" s="18">
        <v>13900.21</v>
      </c>
      <c r="I61" s="19">
        <f t="shared" si="1"/>
        <v>2325254.9</v>
      </c>
      <c r="J61" s="49">
        <f t="shared" si="6"/>
        <v>56787591.640000023</v>
      </c>
      <c r="K61" s="17"/>
    </row>
    <row r="62" spans="1:11" ht="23.1" customHeight="1" x14ac:dyDescent="0.2">
      <c r="A62" s="47" t="s">
        <v>75</v>
      </c>
      <c r="B62" s="14">
        <f t="shared" si="7"/>
        <v>56787591.640000023</v>
      </c>
      <c r="C62" s="18">
        <v>159021.28</v>
      </c>
      <c r="D62" s="18">
        <v>8593.52</v>
      </c>
      <c r="E62" s="19">
        <f t="shared" si="0"/>
        <v>150427.76</v>
      </c>
      <c r="F62" s="18">
        <v>612383.15</v>
      </c>
      <c r="G62" s="18">
        <v>0</v>
      </c>
      <c r="H62" s="18">
        <v>0</v>
      </c>
      <c r="I62" s="19">
        <f t="shared" si="1"/>
        <v>612383.15</v>
      </c>
      <c r="J62" s="49">
        <f t="shared" si="6"/>
        <v>56325636.250000022</v>
      </c>
      <c r="K62" s="17"/>
    </row>
    <row r="63" spans="1:11" ht="23.1" customHeight="1" x14ac:dyDescent="0.2">
      <c r="A63" s="47" t="s">
        <v>76</v>
      </c>
      <c r="B63" s="14">
        <f t="shared" si="7"/>
        <v>56325636.250000022</v>
      </c>
      <c r="C63" s="18">
        <v>160551.60999999999</v>
      </c>
      <c r="D63" s="18">
        <v>18348.66</v>
      </c>
      <c r="E63" s="19">
        <f t="shared" si="0"/>
        <v>142202.94999999998</v>
      </c>
      <c r="F63" s="18">
        <v>2548239.29</v>
      </c>
      <c r="G63" s="18">
        <v>0</v>
      </c>
      <c r="H63" s="18">
        <v>99165.1</v>
      </c>
      <c r="I63" s="19">
        <f t="shared" si="1"/>
        <v>2449074.19</v>
      </c>
      <c r="J63" s="49">
        <f t="shared" si="6"/>
        <v>54018765.010000028</v>
      </c>
      <c r="K63" s="17"/>
    </row>
    <row r="64" spans="1:11" ht="23.1" customHeight="1" x14ac:dyDescent="0.25">
      <c r="A64" s="47" t="s">
        <v>77</v>
      </c>
      <c r="B64" s="14">
        <f t="shared" si="7"/>
        <v>54018765.010000028</v>
      </c>
      <c r="C64" s="20">
        <v>132575.34</v>
      </c>
      <c r="D64" s="18">
        <v>14849.17</v>
      </c>
      <c r="E64" s="19">
        <f t="shared" si="0"/>
        <v>117726.17</v>
      </c>
      <c r="F64" s="18">
        <v>1866606.17</v>
      </c>
      <c r="G64" s="18">
        <v>0</v>
      </c>
      <c r="H64" s="18">
        <v>156081.32</v>
      </c>
      <c r="I64" s="19">
        <f t="shared" si="1"/>
        <v>1710524.8499999999</v>
      </c>
      <c r="J64" s="49">
        <f t="shared" si="6"/>
        <v>52425966.330000028</v>
      </c>
      <c r="K64" s="17"/>
    </row>
    <row r="65" spans="1:11" ht="23.1" customHeight="1" x14ac:dyDescent="0.2">
      <c r="A65" s="47" t="s">
        <v>78</v>
      </c>
      <c r="B65" s="14">
        <f t="shared" si="7"/>
        <v>52425966.330000028</v>
      </c>
      <c r="C65" s="18">
        <v>129305.21</v>
      </c>
      <c r="D65" s="18">
        <v>13139.01</v>
      </c>
      <c r="E65" s="19">
        <f t="shared" si="0"/>
        <v>116166.20000000001</v>
      </c>
      <c r="F65" s="18">
        <v>1458878.68</v>
      </c>
      <c r="G65" s="18">
        <v>0</v>
      </c>
      <c r="H65" s="18">
        <v>0</v>
      </c>
      <c r="I65" s="19">
        <f t="shared" si="1"/>
        <v>1458878.68</v>
      </c>
      <c r="J65" s="49">
        <f t="shared" si="6"/>
        <v>51083253.850000031</v>
      </c>
      <c r="K65" s="17"/>
    </row>
    <row r="66" spans="1:11" ht="23.1" customHeight="1" x14ac:dyDescent="0.2">
      <c r="A66" s="47" t="s">
        <v>79</v>
      </c>
      <c r="B66" s="14">
        <f t="shared" si="7"/>
        <v>51083253.850000031</v>
      </c>
      <c r="C66" s="18">
        <f>118298+8084.11</f>
        <v>126382.11</v>
      </c>
      <c r="D66" s="18">
        <v>11377.09</v>
      </c>
      <c r="E66" s="19">
        <f t="shared" si="0"/>
        <v>115005.02</v>
      </c>
      <c r="F66" s="18">
        <v>873771.57</v>
      </c>
      <c r="G66" s="18">
        <v>0</v>
      </c>
      <c r="H66" s="18">
        <v>209307.86</v>
      </c>
      <c r="I66" s="19">
        <f t="shared" si="1"/>
        <v>664463.71</v>
      </c>
      <c r="J66" s="49">
        <f t="shared" si="6"/>
        <v>50533795.160000034</v>
      </c>
      <c r="K66" s="17"/>
    </row>
    <row r="67" spans="1:11" ht="23.1" customHeight="1" x14ac:dyDescent="0.25">
      <c r="A67" s="47" t="s">
        <v>80</v>
      </c>
      <c r="B67" s="14">
        <f t="shared" si="7"/>
        <v>50533795.160000034</v>
      </c>
      <c r="C67" s="20">
        <f>126891.56-8084.11</f>
        <v>118807.45</v>
      </c>
      <c r="D67" s="18">
        <v>14202.74</v>
      </c>
      <c r="E67" s="19">
        <f t="shared" si="0"/>
        <v>104604.70999999999</v>
      </c>
      <c r="F67" s="18">
        <v>1911132.31</v>
      </c>
      <c r="G67" s="18">
        <v>0</v>
      </c>
      <c r="H67" s="18">
        <v>11257.35</v>
      </c>
      <c r="I67" s="19">
        <f t="shared" si="1"/>
        <v>1899874.96</v>
      </c>
      <c r="J67" s="49">
        <f t="shared" si="6"/>
        <v>48738524.910000034</v>
      </c>
      <c r="K67" s="17"/>
    </row>
    <row r="68" spans="1:11" ht="23.1" customHeight="1" x14ac:dyDescent="0.2">
      <c r="A68" s="47" t="s">
        <v>81</v>
      </c>
      <c r="B68" s="14">
        <f t="shared" si="7"/>
        <v>48738524.910000034</v>
      </c>
      <c r="C68" s="18">
        <v>118510.58</v>
      </c>
      <c r="D68" s="18">
        <v>13840.58</v>
      </c>
      <c r="E68" s="19">
        <f t="shared" si="0"/>
        <v>104670</v>
      </c>
      <c r="F68" s="18">
        <v>1838711.61</v>
      </c>
      <c r="G68" s="18">
        <v>0</v>
      </c>
      <c r="H68" s="18">
        <v>72302.559999999998</v>
      </c>
      <c r="I68" s="19">
        <f t="shared" si="1"/>
        <v>1766409.05</v>
      </c>
      <c r="J68" s="49">
        <f t="shared" si="6"/>
        <v>47076785.860000037</v>
      </c>
      <c r="K68" s="17"/>
    </row>
    <row r="69" spans="1:11" ht="23.1" customHeight="1" x14ac:dyDescent="0.2">
      <c r="A69" s="47" t="s">
        <v>82</v>
      </c>
      <c r="B69" s="14">
        <f t="shared" si="7"/>
        <v>47076785.860000037</v>
      </c>
      <c r="C69" s="18">
        <f>104363.85+7379.11</f>
        <v>111742.96</v>
      </c>
      <c r="D69" s="18">
        <v>11661.75</v>
      </c>
      <c r="E69" s="19">
        <f t="shared" si="0"/>
        <v>100081.21</v>
      </c>
      <c r="F69" s="18">
        <v>1223685.8700000001</v>
      </c>
      <c r="G69" s="18">
        <v>0</v>
      </c>
      <c r="H69" s="18">
        <v>173645</v>
      </c>
      <c r="I69" s="19">
        <f t="shared" si="1"/>
        <v>1050040.8700000001</v>
      </c>
      <c r="J69" s="49">
        <f t="shared" si="6"/>
        <v>46126826.20000004</v>
      </c>
      <c r="K69" s="17"/>
    </row>
    <row r="70" spans="1:11" ht="23.1" customHeight="1" x14ac:dyDescent="0.2">
      <c r="A70" s="50" t="s">
        <v>83</v>
      </c>
      <c r="B70" s="14">
        <v>5505549</v>
      </c>
      <c r="C70" s="18">
        <v>0</v>
      </c>
      <c r="D70" s="18">
        <v>0</v>
      </c>
      <c r="E70" s="19">
        <v>0</v>
      </c>
      <c r="F70" s="18">
        <v>0</v>
      </c>
      <c r="G70" s="18">
        <v>0</v>
      </c>
      <c r="H70" s="18">
        <v>0</v>
      </c>
      <c r="I70" s="19">
        <f t="shared" si="1"/>
        <v>0</v>
      </c>
      <c r="J70" s="49">
        <f>B70+J69</f>
        <v>51632375.20000004</v>
      </c>
      <c r="K70" s="17"/>
    </row>
    <row r="71" spans="1:11" ht="23.1" customHeight="1" x14ac:dyDescent="0.25">
      <c r="A71" s="47" t="s">
        <v>84</v>
      </c>
      <c r="B71" s="14">
        <f>+J70</f>
        <v>51632375.20000004</v>
      </c>
      <c r="C71" s="20">
        <f>66819.39+48675.19</f>
        <v>115494.58</v>
      </c>
      <c r="D71" s="18">
        <v>2055.98</v>
      </c>
      <c r="E71" s="19">
        <f t="shared" si="0"/>
        <v>113438.6</v>
      </c>
      <c r="F71" s="18">
        <v>359440.83</v>
      </c>
      <c r="G71" s="18">
        <v>0</v>
      </c>
      <c r="H71" s="18">
        <f>127523.03+75555.87+44622.16</f>
        <v>247701.06</v>
      </c>
      <c r="I71" s="19">
        <f t="shared" si="1"/>
        <v>111739.77000000002</v>
      </c>
      <c r="J71" s="49">
        <f>+B71+E71-I71</f>
        <v>51634074.030000038</v>
      </c>
      <c r="K71" s="17"/>
    </row>
    <row r="72" spans="1:11" ht="23.1" customHeight="1" x14ac:dyDescent="0.2">
      <c r="A72" s="47" t="s">
        <v>85</v>
      </c>
      <c r="B72" s="14">
        <f>+J71</f>
        <v>51634074.030000038</v>
      </c>
      <c r="C72" s="18">
        <v>127849.26</v>
      </c>
      <c r="D72" s="18">
        <v>15551.05</v>
      </c>
      <c r="E72" s="19">
        <f t="shared" si="0"/>
        <v>112298.20999999999</v>
      </c>
      <c r="F72" s="18">
        <v>597898.73</v>
      </c>
      <c r="G72" s="18">
        <v>0</v>
      </c>
      <c r="H72" s="18">
        <v>0</v>
      </c>
      <c r="I72" s="19">
        <f t="shared" si="1"/>
        <v>597898.73</v>
      </c>
      <c r="J72" s="49">
        <f t="shared" si="6"/>
        <v>51148473.510000043</v>
      </c>
      <c r="K72" s="17"/>
    </row>
    <row r="73" spans="1:11" ht="23.1" customHeight="1" x14ac:dyDescent="0.2">
      <c r="A73" s="47" t="s">
        <v>86</v>
      </c>
      <c r="B73" s="14">
        <f>+J72</f>
        <v>51148473.510000043</v>
      </c>
      <c r="C73" s="18">
        <v>113976.06</v>
      </c>
      <c r="D73" s="18">
        <v>10702.09</v>
      </c>
      <c r="E73" s="19">
        <f t="shared" si="0"/>
        <v>103273.97</v>
      </c>
      <c r="F73" s="18">
        <v>1329646.6599999999</v>
      </c>
      <c r="G73" s="18">
        <v>0</v>
      </c>
      <c r="H73" s="18">
        <v>289158.87</v>
      </c>
      <c r="I73" s="19">
        <f t="shared" si="1"/>
        <v>1040487.7899999999</v>
      </c>
      <c r="J73" s="49">
        <f t="shared" si="6"/>
        <v>50211259.690000042</v>
      </c>
      <c r="K73" s="17"/>
    </row>
    <row r="74" spans="1:11" ht="23.1" customHeight="1" x14ac:dyDescent="0.25">
      <c r="A74" s="47" t="s">
        <v>87</v>
      </c>
      <c r="B74" s="14">
        <f>+J73</f>
        <v>50211259.690000042</v>
      </c>
      <c r="C74" s="20">
        <v>122823.54</v>
      </c>
      <c r="D74" s="18">
        <v>13156.76</v>
      </c>
      <c r="E74" s="19">
        <f t="shared" si="0"/>
        <v>109666.78</v>
      </c>
      <c r="F74" s="18">
        <v>1273325.44</v>
      </c>
      <c r="G74" s="18">
        <v>0</v>
      </c>
      <c r="H74" s="18">
        <v>36992.639999999999</v>
      </c>
      <c r="I74" s="19">
        <f t="shared" si="1"/>
        <v>1236332.8</v>
      </c>
      <c r="J74" s="49">
        <f t="shared" si="6"/>
        <v>49084593.670000046</v>
      </c>
      <c r="K74" s="17"/>
    </row>
    <row r="75" spans="1:11" ht="23.1" customHeight="1" x14ac:dyDescent="0.2">
      <c r="A75" s="47" t="s">
        <v>88</v>
      </c>
      <c r="B75" s="14">
        <f>+J74</f>
        <v>49084593.670000046</v>
      </c>
      <c r="C75" s="18">
        <v>117997.98</v>
      </c>
      <c r="D75" s="18">
        <v>10282.049999999999</v>
      </c>
      <c r="E75" s="19">
        <f t="shared" si="0"/>
        <v>107715.93</v>
      </c>
      <c r="F75" s="18">
        <v>937775.22</v>
      </c>
      <c r="G75" s="18">
        <v>0</v>
      </c>
      <c r="H75" s="18">
        <v>134912.09</v>
      </c>
      <c r="I75" s="19">
        <f t="shared" si="1"/>
        <v>802863.13</v>
      </c>
      <c r="J75" s="49">
        <f t="shared" si="6"/>
        <v>48389446.470000044</v>
      </c>
      <c r="K75" s="17"/>
    </row>
    <row r="76" spans="1:11" ht="23.1" customHeight="1" x14ac:dyDescent="0.2">
      <c r="A76" s="47" t="s">
        <v>89</v>
      </c>
      <c r="B76" s="14">
        <v>2111428</v>
      </c>
      <c r="C76" s="18">
        <v>0</v>
      </c>
      <c r="D76" s="18">
        <v>0</v>
      </c>
      <c r="E76" s="19">
        <f t="shared" si="0"/>
        <v>0</v>
      </c>
      <c r="F76" s="18">
        <v>0</v>
      </c>
      <c r="G76" s="18">
        <v>0</v>
      </c>
      <c r="H76" s="18">
        <v>0</v>
      </c>
      <c r="I76" s="19">
        <v>0</v>
      </c>
      <c r="J76" s="49">
        <f>B76+J75</f>
        <v>50500874.470000044</v>
      </c>
      <c r="K76" s="17"/>
    </row>
    <row r="77" spans="1:11" ht="23.1" customHeight="1" x14ac:dyDescent="0.2">
      <c r="A77" s="47" t="s">
        <v>90</v>
      </c>
      <c r="B77" s="14">
        <f>+J76</f>
        <v>50500874.470000044</v>
      </c>
      <c r="C77" s="18">
        <v>120345.1</v>
      </c>
      <c r="D77" s="18">
        <v>9954.1200000000008</v>
      </c>
      <c r="E77" s="19">
        <f t="shared" si="0"/>
        <v>110390.98000000001</v>
      </c>
      <c r="F77" s="18">
        <v>645863.48</v>
      </c>
      <c r="G77" s="18">
        <v>0</v>
      </c>
      <c r="H77" s="18">
        <v>59345.5</v>
      </c>
      <c r="I77" s="19">
        <f t="shared" si="1"/>
        <v>586517.98</v>
      </c>
      <c r="J77" s="49">
        <f t="shared" si="6"/>
        <v>50024747.470000044</v>
      </c>
      <c r="K77" s="17"/>
    </row>
    <row r="78" spans="1:11" ht="23.1" customHeight="1" x14ac:dyDescent="0.2">
      <c r="A78" s="47" t="s">
        <v>91</v>
      </c>
      <c r="B78" s="14">
        <f>+J77</f>
        <v>50024747.470000044</v>
      </c>
      <c r="C78" s="18">
        <v>118772.95</v>
      </c>
      <c r="D78" s="18">
        <v>11221.42</v>
      </c>
      <c r="E78" s="19">
        <f t="shared" si="0"/>
        <v>107551.53</v>
      </c>
      <c r="F78" s="18">
        <v>1007821.29</v>
      </c>
      <c r="G78" s="18">
        <v>0</v>
      </c>
      <c r="H78" s="18">
        <v>0</v>
      </c>
      <c r="I78" s="19">
        <f t="shared" si="1"/>
        <v>1007821.29</v>
      </c>
      <c r="J78" s="49">
        <f t="shared" si="6"/>
        <v>49124477.710000046</v>
      </c>
      <c r="K78" s="17"/>
    </row>
    <row r="79" spans="1:11" ht="23.1" customHeight="1" x14ac:dyDescent="0.2">
      <c r="A79" s="47" t="s">
        <v>92</v>
      </c>
      <c r="B79" s="14">
        <f>+J78</f>
        <v>49124477.710000046</v>
      </c>
      <c r="C79" s="18">
        <v>120890.89</v>
      </c>
      <c r="D79" s="18">
        <v>10698.77</v>
      </c>
      <c r="E79" s="19">
        <f t="shared" si="0"/>
        <v>110192.12</v>
      </c>
      <c r="F79" s="18">
        <v>901406.64</v>
      </c>
      <c r="G79" s="18">
        <v>0</v>
      </c>
      <c r="H79" s="18">
        <v>0</v>
      </c>
      <c r="I79" s="19">
        <f t="shared" si="1"/>
        <v>901406.64</v>
      </c>
      <c r="J79" s="49">
        <f t="shared" si="6"/>
        <v>48333263.190000042</v>
      </c>
      <c r="K79" s="17"/>
    </row>
    <row r="80" spans="1:11" ht="23.1" customHeight="1" x14ac:dyDescent="0.2">
      <c r="A80" s="47" t="s">
        <v>93</v>
      </c>
      <c r="B80" s="14">
        <v>33424749</v>
      </c>
      <c r="C80" s="18">
        <v>0</v>
      </c>
      <c r="D80" s="18">
        <v>0</v>
      </c>
      <c r="E80" s="19">
        <v>0</v>
      </c>
      <c r="F80" s="18">
        <v>0</v>
      </c>
      <c r="G80" s="18">
        <v>0</v>
      </c>
      <c r="H80" s="18">
        <v>0</v>
      </c>
      <c r="I80" s="19">
        <f t="shared" si="1"/>
        <v>0</v>
      </c>
      <c r="J80" s="49">
        <f>J79+B80</f>
        <v>81758012.190000042</v>
      </c>
      <c r="K80" s="17"/>
    </row>
    <row r="81" spans="1:11" ht="23.1" customHeight="1" x14ac:dyDescent="0.2">
      <c r="A81" s="47" t="s">
        <v>94</v>
      </c>
      <c r="B81" s="14">
        <f>+J80</f>
        <v>81758012.190000042</v>
      </c>
      <c r="C81" s="18">
        <v>146087.71</v>
      </c>
      <c r="D81" s="18">
        <v>10614.44</v>
      </c>
      <c r="E81" s="19">
        <f t="shared" si="0"/>
        <v>135473.26999999999</v>
      </c>
      <c r="F81" s="18">
        <v>726380.15</v>
      </c>
      <c r="G81" s="18">
        <v>0</v>
      </c>
      <c r="H81" s="18">
        <v>134185.44</v>
      </c>
      <c r="I81" s="19">
        <f t="shared" si="1"/>
        <v>592194.71</v>
      </c>
      <c r="J81" s="49">
        <f t="shared" si="6"/>
        <v>81301290.750000045</v>
      </c>
      <c r="K81" s="17"/>
    </row>
    <row r="82" spans="1:11" ht="23.1" customHeight="1" x14ac:dyDescent="0.2">
      <c r="A82" s="47" t="s">
        <v>95</v>
      </c>
      <c r="B82" s="14">
        <f>+J81</f>
        <v>81301290.750000045</v>
      </c>
      <c r="C82" s="18">
        <v>190857.58</v>
      </c>
      <c r="D82" s="18">
        <v>18628.88</v>
      </c>
      <c r="E82" s="19">
        <f t="shared" si="0"/>
        <v>172228.69999999998</v>
      </c>
      <c r="F82" s="18">
        <v>3388802.97</v>
      </c>
      <c r="G82" s="18">
        <v>0</v>
      </c>
      <c r="H82" s="18">
        <v>0</v>
      </c>
      <c r="I82" s="19">
        <f t="shared" si="1"/>
        <v>3388802.97</v>
      </c>
      <c r="J82" s="49">
        <f t="shared" si="6"/>
        <v>78084716.480000049</v>
      </c>
      <c r="K82" s="17"/>
    </row>
    <row r="83" spans="1:11" ht="23.1" customHeight="1" x14ac:dyDescent="0.2">
      <c r="A83" s="47" t="s">
        <v>96</v>
      </c>
      <c r="B83" s="14">
        <f>+J82</f>
        <v>78084716.480000049</v>
      </c>
      <c r="C83" s="18">
        <v>191389.43</v>
      </c>
      <c r="D83" s="18">
        <v>18183.91</v>
      </c>
      <c r="E83" s="19">
        <f t="shared" si="0"/>
        <v>173205.52</v>
      </c>
      <c r="F83" s="18">
        <v>2193014.42</v>
      </c>
      <c r="G83" s="18">
        <v>0</v>
      </c>
      <c r="H83" s="18">
        <v>136685.44</v>
      </c>
      <c r="I83" s="19">
        <f t="shared" si="1"/>
        <v>2056328.98</v>
      </c>
      <c r="J83" s="49">
        <f t="shared" si="6"/>
        <v>76201593.020000041</v>
      </c>
      <c r="K83" s="17"/>
    </row>
    <row r="84" spans="1:11" ht="23.1" customHeight="1" x14ac:dyDescent="0.2">
      <c r="A84" s="47" t="s">
        <v>97</v>
      </c>
      <c r="B84" s="14">
        <v>6920720</v>
      </c>
      <c r="C84" s="18">
        <v>0</v>
      </c>
      <c r="D84" s="18">
        <v>0</v>
      </c>
      <c r="E84" s="19">
        <f t="shared" si="0"/>
        <v>0</v>
      </c>
      <c r="F84" s="18">
        <v>0</v>
      </c>
      <c r="G84" s="18">
        <v>0</v>
      </c>
      <c r="H84" s="18">
        <v>0</v>
      </c>
      <c r="I84" s="19">
        <f t="shared" si="1"/>
        <v>0</v>
      </c>
      <c r="J84" s="49">
        <f>B84+J83</f>
        <v>83122313.020000041</v>
      </c>
      <c r="K84" s="17"/>
    </row>
    <row r="85" spans="1:11" ht="23.1" customHeight="1" x14ac:dyDescent="0.2">
      <c r="A85" s="47" t="s">
        <v>98</v>
      </c>
      <c r="B85" s="14">
        <f t="shared" ref="B85:B90" si="8">+J84</f>
        <v>83122313.020000041</v>
      </c>
      <c r="C85" s="18">
        <v>195699.07</v>
      </c>
      <c r="D85" s="18">
        <v>15852.88</v>
      </c>
      <c r="E85" s="19">
        <f t="shared" si="0"/>
        <v>179846.19</v>
      </c>
      <c r="F85" s="18">
        <v>1799261.6</v>
      </c>
      <c r="G85" s="18">
        <v>0</v>
      </c>
      <c r="H85" s="18">
        <v>50414.6</v>
      </c>
      <c r="I85" s="19">
        <f t="shared" si="1"/>
        <v>1748847</v>
      </c>
      <c r="J85" s="49">
        <f t="shared" si="6"/>
        <v>81553312.210000038</v>
      </c>
      <c r="K85" s="17"/>
    </row>
    <row r="86" spans="1:11" ht="23.1" customHeight="1" x14ac:dyDescent="0.25">
      <c r="A86" s="47" t="s">
        <v>99</v>
      </c>
      <c r="B86" s="14">
        <f t="shared" si="8"/>
        <v>81553312.210000038</v>
      </c>
      <c r="C86" s="20">
        <v>189961.96</v>
      </c>
      <c r="D86" s="18">
        <v>20140.12</v>
      </c>
      <c r="E86" s="19">
        <f t="shared" si="0"/>
        <v>169821.84</v>
      </c>
      <c r="F86" s="18">
        <v>2098052.84</v>
      </c>
      <c r="G86" s="18">
        <v>0</v>
      </c>
      <c r="H86" s="18">
        <v>3000</v>
      </c>
      <c r="I86" s="19">
        <f t="shared" si="1"/>
        <v>2095052.8399999999</v>
      </c>
      <c r="J86" s="49">
        <f t="shared" si="6"/>
        <v>79628081.210000038</v>
      </c>
      <c r="K86" s="17"/>
    </row>
    <row r="87" spans="1:11" ht="23.1" customHeight="1" x14ac:dyDescent="0.2">
      <c r="A87" s="47" t="s">
        <v>100</v>
      </c>
      <c r="B87" s="14">
        <f t="shared" si="8"/>
        <v>79628081.210000038</v>
      </c>
      <c r="C87" s="18">
        <v>204497.54</v>
      </c>
      <c r="D87" s="18">
        <v>15411.04</v>
      </c>
      <c r="E87" s="19">
        <f t="shared" si="0"/>
        <v>189086.5</v>
      </c>
      <c r="F87" s="18">
        <v>1553985.62</v>
      </c>
      <c r="G87" s="18">
        <v>0</v>
      </c>
      <c r="H87" s="18">
        <v>0</v>
      </c>
      <c r="I87" s="19">
        <f t="shared" si="1"/>
        <v>1553985.62</v>
      </c>
      <c r="J87" s="49">
        <f t="shared" si="6"/>
        <v>78263182.090000033</v>
      </c>
      <c r="K87" s="17"/>
    </row>
    <row r="88" spans="1:11" ht="23.1" customHeight="1" x14ac:dyDescent="0.2">
      <c r="A88" s="47" t="s">
        <v>101</v>
      </c>
      <c r="B88" s="14">
        <f t="shared" si="8"/>
        <v>78263182.090000033</v>
      </c>
      <c r="C88" s="18">
        <v>209114.17</v>
      </c>
      <c r="D88" s="18">
        <v>26383.360000000001</v>
      </c>
      <c r="E88" s="19">
        <f t="shared" si="0"/>
        <v>182730.81</v>
      </c>
      <c r="F88" s="18">
        <v>3842849.54</v>
      </c>
      <c r="G88" s="18">
        <v>0</v>
      </c>
      <c r="H88" s="18">
        <v>133453.29</v>
      </c>
      <c r="I88" s="19">
        <f t="shared" si="1"/>
        <v>3709396.25</v>
      </c>
      <c r="J88" s="49">
        <f t="shared" si="6"/>
        <v>74736516.650000036</v>
      </c>
      <c r="K88" s="17"/>
    </row>
    <row r="89" spans="1:11" ht="23.1" customHeight="1" x14ac:dyDescent="0.25">
      <c r="A89" s="47" t="s">
        <v>102</v>
      </c>
      <c r="B89" s="14">
        <f t="shared" si="8"/>
        <v>74736516.650000036</v>
      </c>
      <c r="C89" s="20">
        <v>240609.78</v>
      </c>
      <c r="D89" s="18">
        <f>10718.4+6611.28</f>
        <v>17329.68</v>
      </c>
      <c r="E89" s="19">
        <f t="shared" si="0"/>
        <v>223280.1</v>
      </c>
      <c r="F89" s="18">
        <v>3012108.41</v>
      </c>
      <c r="G89" s="18">
        <v>0</v>
      </c>
      <c r="H89" s="18">
        <v>3198</v>
      </c>
      <c r="I89" s="19">
        <f t="shared" si="1"/>
        <v>3008910.41</v>
      </c>
      <c r="J89" s="49">
        <f t="shared" si="6"/>
        <v>71950886.340000033</v>
      </c>
      <c r="K89" s="17"/>
    </row>
    <row r="90" spans="1:11" ht="23.1" customHeight="1" x14ac:dyDescent="0.2">
      <c r="A90" s="47" t="s">
        <v>103</v>
      </c>
      <c r="B90" s="14">
        <f t="shared" si="8"/>
        <v>71950886.340000033</v>
      </c>
      <c r="C90" s="18">
        <v>213249.93</v>
      </c>
      <c r="D90" s="18">
        <f>16366.2+6815.56</f>
        <v>23181.760000000002</v>
      </c>
      <c r="E90" s="19">
        <f t="shared" si="0"/>
        <v>190068.16999999998</v>
      </c>
      <c r="F90" s="18">
        <v>3061729.53</v>
      </c>
      <c r="G90" s="18">
        <v>0</v>
      </c>
      <c r="H90" s="18">
        <v>130087.1</v>
      </c>
      <c r="I90" s="19">
        <f t="shared" si="1"/>
        <v>2931642.4299999997</v>
      </c>
      <c r="J90" s="49">
        <f t="shared" si="6"/>
        <v>69209312.080000043</v>
      </c>
      <c r="K90" s="17"/>
    </row>
    <row r="91" spans="1:11" ht="23.1" customHeight="1" x14ac:dyDescent="0.2">
      <c r="A91" s="47" t="s">
        <v>104</v>
      </c>
      <c r="B91" s="14">
        <v>4017340</v>
      </c>
      <c r="C91" s="18">
        <v>0</v>
      </c>
      <c r="D91" s="18">
        <v>0</v>
      </c>
      <c r="E91" s="19">
        <v>0</v>
      </c>
      <c r="F91" s="18">
        <v>0</v>
      </c>
      <c r="G91" s="18">
        <v>0</v>
      </c>
      <c r="H91" s="18">
        <v>0</v>
      </c>
      <c r="I91" s="19">
        <f t="shared" si="1"/>
        <v>0</v>
      </c>
      <c r="J91" s="49">
        <f>B91+J90</f>
        <v>73226652.080000043</v>
      </c>
      <c r="K91" s="17"/>
    </row>
    <row r="92" spans="1:11" ht="23.1" customHeight="1" x14ac:dyDescent="0.2">
      <c r="A92" s="47" t="s">
        <v>105</v>
      </c>
      <c r="B92" s="14">
        <f t="shared" ref="B92:B114" si="9">+J91</f>
        <v>73226652.080000043</v>
      </c>
      <c r="C92" s="18">
        <v>212391.35</v>
      </c>
      <c r="D92" s="18">
        <f>20462.4+7259.37</f>
        <v>27721.77</v>
      </c>
      <c r="E92" s="19">
        <f t="shared" si="0"/>
        <v>184669.58000000002</v>
      </c>
      <c r="F92" s="18">
        <v>4923745.12</v>
      </c>
      <c r="G92" s="18">
        <v>0</v>
      </c>
      <c r="H92" s="18">
        <v>39503.68</v>
      </c>
      <c r="I92" s="19">
        <f t="shared" si="1"/>
        <v>4884241.4400000004</v>
      </c>
      <c r="J92" s="49">
        <f t="shared" si="6"/>
        <v>68527080.220000044</v>
      </c>
      <c r="K92" s="17"/>
    </row>
    <row r="93" spans="1:11" ht="23.1" customHeight="1" x14ac:dyDescent="0.2">
      <c r="A93" s="47" t="s">
        <v>106</v>
      </c>
      <c r="B93" s="14">
        <f t="shared" si="9"/>
        <v>68527080.220000044</v>
      </c>
      <c r="C93" s="18">
        <v>206619.41</v>
      </c>
      <c r="D93" s="18">
        <v>34589.67</v>
      </c>
      <c r="E93" s="19">
        <f t="shared" si="0"/>
        <v>172029.74</v>
      </c>
      <c r="F93" s="18">
        <v>5589499.2199999997</v>
      </c>
      <c r="G93" s="18">
        <v>0</v>
      </c>
      <c r="H93" s="18">
        <v>57670.39</v>
      </c>
      <c r="I93" s="19">
        <f t="shared" si="1"/>
        <v>5531828.8300000001</v>
      </c>
      <c r="J93" s="49">
        <f t="shared" si="6"/>
        <v>63167281.13000004</v>
      </c>
      <c r="K93" s="17"/>
    </row>
    <row r="94" spans="1:11" ht="23.1" customHeight="1" x14ac:dyDescent="0.2">
      <c r="A94" s="47" t="s">
        <v>107</v>
      </c>
      <c r="B94" s="14">
        <f t="shared" si="9"/>
        <v>63167281.13000004</v>
      </c>
      <c r="C94" s="18">
        <v>196975.48</v>
      </c>
      <c r="D94" s="18">
        <f>8491.2+6758.48</f>
        <v>15249.68</v>
      </c>
      <c r="E94" s="19">
        <f t="shared" si="0"/>
        <v>181725.80000000002</v>
      </c>
      <c r="F94" s="18">
        <v>2051188.69</v>
      </c>
      <c r="G94" s="18">
        <v>0</v>
      </c>
      <c r="H94" s="18">
        <v>41050.14</v>
      </c>
      <c r="I94" s="19">
        <f t="shared" si="1"/>
        <v>2010138.55</v>
      </c>
      <c r="J94" s="49">
        <f t="shared" si="6"/>
        <v>61338868.38000004</v>
      </c>
      <c r="K94" s="17"/>
    </row>
    <row r="95" spans="1:11" ht="23.1" customHeight="1" x14ac:dyDescent="0.2">
      <c r="A95" s="47" t="s">
        <v>108</v>
      </c>
      <c r="B95" s="14">
        <f t="shared" si="9"/>
        <v>61338868.38000004</v>
      </c>
      <c r="C95" s="18">
        <v>222059.97</v>
      </c>
      <c r="D95" s="18">
        <f>11954.38+6758.48</f>
        <v>18712.86</v>
      </c>
      <c r="E95" s="19">
        <f t="shared" si="0"/>
        <v>203347.11</v>
      </c>
      <c r="F95" s="18">
        <v>3386423.52</v>
      </c>
      <c r="G95" s="18"/>
      <c r="H95" s="18">
        <v>47375.28</v>
      </c>
      <c r="I95" s="19">
        <f t="shared" si="1"/>
        <v>3339048.24</v>
      </c>
      <c r="J95" s="49">
        <f t="shared" si="6"/>
        <v>58203167.250000037</v>
      </c>
      <c r="K95" s="17"/>
    </row>
    <row r="96" spans="1:11" ht="23.1" customHeight="1" x14ac:dyDescent="0.2">
      <c r="A96" s="47" t="s">
        <v>109</v>
      </c>
      <c r="B96" s="14">
        <f t="shared" si="9"/>
        <v>58203167.250000037</v>
      </c>
      <c r="C96" s="18">
        <v>187232.27</v>
      </c>
      <c r="D96" s="18">
        <v>14692.88</v>
      </c>
      <c r="E96" s="19">
        <f t="shared" si="0"/>
        <v>172539.38999999998</v>
      </c>
      <c r="F96" s="18">
        <v>1908035.46</v>
      </c>
      <c r="G96" s="18">
        <v>0</v>
      </c>
      <c r="H96" s="18">
        <v>29984.14</v>
      </c>
      <c r="I96" s="19">
        <f t="shared" si="1"/>
        <v>1878051.32</v>
      </c>
      <c r="J96" s="49">
        <f t="shared" si="6"/>
        <v>56497655.320000038</v>
      </c>
      <c r="K96" s="17"/>
    </row>
    <row r="97" spans="1:11" ht="23.1" customHeight="1" x14ac:dyDescent="0.2">
      <c r="A97" s="47" t="s">
        <v>110</v>
      </c>
      <c r="B97" s="14">
        <f t="shared" si="9"/>
        <v>56497655.320000038</v>
      </c>
      <c r="C97" s="18">
        <v>213681</v>
      </c>
      <c r="D97" s="18">
        <f>9233.6+6758.48</f>
        <v>15992.08</v>
      </c>
      <c r="E97" s="19">
        <f t="shared" si="0"/>
        <v>197688.92</v>
      </c>
      <c r="F97" s="18">
        <v>2501416.0699999998</v>
      </c>
      <c r="G97" s="18">
        <v>0</v>
      </c>
      <c r="H97" s="18">
        <v>29984.14</v>
      </c>
      <c r="I97" s="19">
        <f t="shared" si="1"/>
        <v>2471431.9299999997</v>
      </c>
      <c r="J97" s="49">
        <f t="shared" si="6"/>
        <v>54223912.31000004</v>
      </c>
      <c r="K97" s="17"/>
    </row>
    <row r="98" spans="1:11" ht="23.1" customHeight="1" x14ac:dyDescent="0.2">
      <c r="A98" s="47" t="s">
        <v>111</v>
      </c>
      <c r="B98" s="14">
        <f t="shared" si="9"/>
        <v>54223912.31000004</v>
      </c>
      <c r="C98" s="18">
        <v>167121.85999999999</v>
      </c>
      <c r="D98" s="18">
        <f>10237.35+6758.48</f>
        <v>16995.830000000002</v>
      </c>
      <c r="E98" s="19">
        <f t="shared" si="0"/>
        <v>150126.02999999997</v>
      </c>
      <c r="F98" s="18">
        <v>2450799.87</v>
      </c>
      <c r="G98" s="18">
        <v>0</v>
      </c>
      <c r="H98" s="18">
        <v>32116.39</v>
      </c>
      <c r="I98" s="19">
        <f t="shared" si="1"/>
        <v>2418683.48</v>
      </c>
      <c r="J98" s="49">
        <f t="shared" si="6"/>
        <v>51955354.860000044</v>
      </c>
      <c r="K98" s="17"/>
    </row>
    <row r="99" spans="1:11" ht="23.1" customHeight="1" x14ac:dyDescent="0.2">
      <c r="A99" s="47" t="s">
        <v>112</v>
      </c>
      <c r="B99" s="14">
        <f t="shared" si="9"/>
        <v>51955354.860000044</v>
      </c>
      <c r="C99" s="18">
        <v>227509.07</v>
      </c>
      <c r="D99" s="18">
        <v>24390.48</v>
      </c>
      <c r="E99" s="19">
        <f t="shared" si="0"/>
        <v>203118.59</v>
      </c>
      <c r="F99" s="18">
        <v>3429589.19</v>
      </c>
      <c r="G99" s="18">
        <v>0</v>
      </c>
      <c r="H99" s="18">
        <v>134781.54</v>
      </c>
      <c r="I99" s="19">
        <f t="shared" si="1"/>
        <v>3294807.65</v>
      </c>
      <c r="J99" s="49">
        <f t="shared" si="6"/>
        <v>48863665.800000049</v>
      </c>
      <c r="K99" s="17"/>
    </row>
    <row r="100" spans="1:11" ht="23.1" customHeight="1" x14ac:dyDescent="0.2">
      <c r="A100" s="47" t="s">
        <v>113</v>
      </c>
      <c r="B100" s="14">
        <f t="shared" si="9"/>
        <v>48863665.800000049</v>
      </c>
      <c r="C100" s="18">
        <f>248400.4</f>
        <v>248400.4</v>
      </c>
      <c r="D100" s="18">
        <f>185.6+6758.48</f>
        <v>6944.08</v>
      </c>
      <c r="E100" s="19">
        <f t="shared" si="0"/>
        <v>241456.32</v>
      </c>
      <c r="F100" s="18">
        <v>17734.919999999998</v>
      </c>
      <c r="G100" s="18">
        <v>0</v>
      </c>
      <c r="H100" s="18">
        <v>0</v>
      </c>
      <c r="I100" s="19">
        <f t="shared" si="1"/>
        <v>17734.919999999998</v>
      </c>
      <c r="J100" s="49">
        <f t="shared" si="6"/>
        <v>49087387.200000048</v>
      </c>
      <c r="K100" s="17"/>
    </row>
    <row r="101" spans="1:11" ht="23.1" customHeight="1" x14ac:dyDescent="0.2">
      <c r="A101" s="47" t="s">
        <v>114</v>
      </c>
      <c r="B101" s="14">
        <f t="shared" si="9"/>
        <v>49087387.200000048</v>
      </c>
      <c r="C101" s="18">
        <v>227619.09</v>
      </c>
      <c r="D101" s="18">
        <f>6758.48</f>
        <v>6758.48</v>
      </c>
      <c r="E101" s="19">
        <f t="shared" si="0"/>
        <v>220860.61</v>
      </c>
      <c r="F101" s="18">
        <v>0</v>
      </c>
      <c r="G101" s="18">
        <v>1165168.1599999999</v>
      </c>
      <c r="H101" s="18">
        <v>0</v>
      </c>
      <c r="I101" s="19">
        <f t="shared" si="1"/>
        <v>1165168.1599999999</v>
      </c>
      <c r="J101" s="49">
        <f t="shared" si="6"/>
        <v>48143079.650000051</v>
      </c>
      <c r="K101" s="17"/>
    </row>
    <row r="102" spans="1:11" ht="23.1" customHeight="1" x14ac:dyDescent="0.2">
      <c r="A102" s="47" t="s">
        <v>115</v>
      </c>
      <c r="B102" s="14">
        <f t="shared" si="9"/>
        <v>48143079.650000051</v>
      </c>
      <c r="C102" s="18">
        <v>254171.97</v>
      </c>
      <c r="D102" s="18">
        <f>453.68+6758.48</f>
        <v>7212.16</v>
      </c>
      <c r="E102" s="19">
        <f t="shared" si="0"/>
        <v>246959.81</v>
      </c>
      <c r="F102" s="18">
        <v>129688.51</v>
      </c>
      <c r="G102" s="18">
        <v>0</v>
      </c>
      <c r="H102" s="18">
        <v>0</v>
      </c>
      <c r="I102" s="19">
        <f t="shared" si="1"/>
        <v>129688.51</v>
      </c>
      <c r="J102" s="49">
        <f t="shared" si="6"/>
        <v>48260350.950000055</v>
      </c>
      <c r="K102" s="17"/>
    </row>
    <row r="103" spans="1:11" ht="23.1" customHeight="1" x14ac:dyDescent="0.2">
      <c r="A103" s="47" t="s">
        <v>116</v>
      </c>
      <c r="B103" s="14">
        <f t="shared" si="9"/>
        <v>48260350.950000055</v>
      </c>
      <c r="C103" s="18">
        <v>241764.22</v>
      </c>
      <c r="D103" s="18">
        <f>2819.03+6758.48</f>
        <v>9577.51</v>
      </c>
      <c r="E103" s="19">
        <f t="shared" si="0"/>
        <v>232186.71</v>
      </c>
      <c r="F103" s="18">
        <v>688733.56</v>
      </c>
      <c r="G103" s="18">
        <v>0</v>
      </c>
      <c r="H103" s="18">
        <v>0</v>
      </c>
      <c r="I103" s="19">
        <f t="shared" si="1"/>
        <v>688733.56</v>
      </c>
      <c r="J103" s="49">
        <f t="shared" si="6"/>
        <v>47803804.100000054</v>
      </c>
      <c r="K103" s="17"/>
    </row>
    <row r="104" spans="1:11" ht="23.1" customHeight="1" x14ac:dyDescent="0.2">
      <c r="A104" s="47" t="s">
        <v>117</v>
      </c>
      <c r="B104" s="14">
        <f t="shared" si="9"/>
        <v>47803804.100000054</v>
      </c>
      <c r="C104" s="18">
        <v>276780.93</v>
      </c>
      <c r="D104" s="18">
        <f>46.4+6758.48</f>
        <v>6804.8799999999992</v>
      </c>
      <c r="E104" s="19">
        <f t="shared" si="0"/>
        <v>269976.05</v>
      </c>
      <c r="F104" s="18">
        <v>2371.46</v>
      </c>
      <c r="G104" s="18">
        <v>0</v>
      </c>
      <c r="H104" s="18">
        <v>0</v>
      </c>
      <c r="I104" s="19">
        <f t="shared" si="1"/>
        <v>2371.46</v>
      </c>
      <c r="J104" s="49">
        <f t="shared" si="6"/>
        <v>48071408.69000005</v>
      </c>
      <c r="K104" s="17"/>
    </row>
    <row r="105" spans="1:11" ht="23.1" customHeight="1" x14ac:dyDescent="0.25">
      <c r="A105" s="47" t="s">
        <v>118</v>
      </c>
      <c r="B105" s="14">
        <f t="shared" si="9"/>
        <v>48071408.69000005</v>
      </c>
      <c r="C105" s="20">
        <v>265138.43</v>
      </c>
      <c r="D105" s="18">
        <f>371.2+6758.48</f>
        <v>7129.6799999999994</v>
      </c>
      <c r="E105" s="19">
        <f t="shared" si="0"/>
        <v>258008.75</v>
      </c>
      <c r="F105" s="18">
        <v>51983.8</v>
      </c>
      <c r="G105" s="18">
        <v>0</v>
      </c>
      <c r="H105" s="18">
        <v>0</v>
      </c>
      <c r="I105" s="19">
        <f t="shared" si="1"/>
        <v>51983.8</v>
      </c>
      <c r="J105" s="49">
        <f t="shared" si="6"/>
        <v>48277433.640000053</v>
      </c>
      <c r="K105" s="17"/>
    </row>
    <row r="106" spans="1:11" ht="23.1" customHeight="1" x14ac:dyDescent="0.2">
      <c r="A106" s="47" t="s">
        <v>119</v>
      </c>
      <c r="B106" s="14">
        <f t="shared" si="9"/>
        <v>48277433.640000053</v>
      </c>
      <c r="C106" s="18">
        <v>282423.34000000003</v>
      </c>
      <c r="D106" s="18">
        <v>7542.27</v>
      </c>
      <c r="E106" s="19">
        <f t="shared" si="0"/>
        <v>274881.07</v>
      </c>
      <c r="F106" s="18">
        <v>66734.649999999994</v>
      </c>
      <c r="G106" s="18">
        <v>0</v>
      </c>
      <c r="H106" s="18">
        <v>0</v>
      </c>
      <c r="I106" s="19">
        <f t="shared" si="1"/>
        <v>66734.649999999994</v>
      </c>
      <c r="J106" s="49">
        <f t="shared" si="6"/>
        <v>48485580.060000055</v>
      </c>
      <c r="K106" s="17"/>
    </row>
    <row r="107" spans="1:11" ht="23.1" customHeight="1" x14ac:dyDescent="0.2">
      <c r="A107" s="47" t="s">
        <v>120</v>
      </c>
      <c r="B107" s="14">
        <f t="shared" si="9"/>
        <v>48485580.060000055</v>
      </c>
      <c r="C107" s="18">
        <v>286509.92999999982</v>
      </c>
      <c r="D107" s="18">
        <v>7356.67</v>
      </c>
      <c r="E107" s="19">
        <f t="shared" si="0"/>
        <v>279153.25999999983</v>
      </c>
      <c r="F107" s="18">
        <v>18568.990000000002</v>
      </c>
      <c r="G107" s="18">
        <v>0</v>
      </c>
      <c r="H107" s="18">
        <v>0</v>
      </c>
      <c r="I107" s="19">
        <f t="shared" si="1"/>
        <v>18568.990000000002</v>
      </c>
      <c r="J107" s="49">
        <f t="shared" si="6"/>
        <v>48746164.33000005</v>
      </c>
      <c r="K107" s="17"/>
    </row>
    <row r="108" spans="1:11" ht="23.1" customHeight="1" x14ac:dyDescent="0.2">
      <c r="A108" s="47" t="s">
        <v>121</v>
      </c>
      <c r="B108" s="14">
        <f t="shared" si="9"/>
        <v>48746164.33000005</v>
      </c>
      <c r="C108" s="18">
        <v>266357.20000000036</v>
      </c>
      <c r="D108" s="18">
        <v>7171.07</v>
      </c>
      <c r="E108" s="19">
        <f>+C108-D108</f>
        <v>259186.13000000035</v>
      </c>
      <c r="F108" s="18">
        <v>2371.46</v>
      </c>
      <c r="G108" s="18">
        <v>0</v>
      </c>
      <c r="H108" s="18">
        <v>0</v>
      </c>
      <c r="I108" s="19">
        <f>+G108+F108-H108</f>
        <v>2371.46</v>
      </c>
      <c r="J108" s="49">
        <f>+B108+E108-I108</f>
        <v>49002979.000000052</v>
      </c>
      <c r="K108" s="17"/>
    </row>
    <row r="109" spans="1:11" ht="23.1" customHeight="1" x14ac:dyDescent="0.2">
      <c r="A109" s="47" t="s">
        <v>122</v>
      </c>
      <c r="B109" s="14">
        <f t="shared" si="9"/>
        <v>49002979.000000052</v>
      </c>
      <c r="C109" s="18">
        <v>294983.44999999972</v>
      </c>
      <c r="D109" s="18">
        <v>7681.47</v>
      </c>
      <c r="E109" s="19">
        <f>+C109-D109</f>
        <v>287301.97999999975</v>
      </c>
      <c r="F109" s="19">
        <v>351161.01</v>
      </c>
      <c r="G109" s="18">
        <v>0</v>
      </c>
      <c r="H109" s="18">
        <v>0</v>
      </c>
      <c r="I109" s="19">
        <f>+G109+F109-H109</f>
        <v>351161.01</v>
      </c>
      <c r="J109" s="49">
        <f>+B109+E109-I109</f>
        <v>48939119.970000051</v>
      </c>
      <c r="K109" s="17"/>
    </row>
    <row r="110" spans="1:11" ht="23.1" customHeight="1" x14ac:dyDescent="0.2">
      <c r="A110" s="47" t="s">
        <v>123</v>
      </c>
      <c r="B110" s="14">
        <f t="shared" si="9"/>
        <v>48939119.970000051</v>
      </c>
      <c r="C110" s="18">
        <v>278186.11999999994</v>
      </c>
      <c r="D110" s="18">
        <v>7449.47</v>
      </c>
      <c r="E110" s="19">
        <f>+C110-D110</f>
        <v>270736.64999999997</v>
      </c>
      <c r="F110" s="18">
        <v>97075.51</v>
      </c>
      <c r="G110" s="18">
        <v>0</v>
      </c>
      <c r="H110" s="18">
        <v>20000</v>
      </c>
      <c r="I110" s="19">
        <f>+G110+F110-H110</f>
        <v>77075.509999999995</v>
      </c>
      <c r="J110" s="49">
        <f>+B110+E110-I110</f>
        <v>49132781.110000052</v>
      </c>
      <c r="K110" s="17"/>
    </row>
    <row r="111" spans="1:11" ht="23.1" customHeight="1" x14ac:dyDescent="0.2">
      <c r="A111" s="47" t="s">
        <v>124</v>
      </c>
      <c r="B111" s="14">
        <f t="shared" si="9"/>
        <v>49132781.110000052</v>
      </c>
      <c r="C111" s="18">
        <v>273668.00999999983</v>
      </c>
      <c r="D111" s="18">
        <v>7681.47</v>
      </c>
      <c r="E111" s="19">
        <f t="shared" ref="E111:E113" si="10">+C111-D111</f>
        <v>265986.53999999986</v>
      </c>
      <c r="F111" s="18">
        <v>192000</v>
      </c>
      <c r="G111" s="18">
        <v>0</v>
      </c>
      <c r="H111" s="18">
        <v>0</v>
      </c>
      <c r="I111" s="19">
        <f t="shared" ref="I111:I114" si="11">+G111+F111-H111</f>
        <v>192000</v>
      </c>
      <c r="J111" s="49">
        <f t="shared" ref="J111:J114" si="12">+B111+E111-I111</f>
        <v>49206767.650000051</v>
      </c>
      <c r="K111" s="17"/>
    </row>
    <row r="112" spans="1:11" ht="23.1" customHeight="1" x14ac:dyDescent="0.2">
      <c r="A112" s="47" t="s">
        <v>133</v>
      </c>
      <c r="B112" s="14">
        <f t="shared" si="9"/>
        <v>49206767.650000051</v>
      </c>
      <c r="C112" s="18">
        <v>320109.15000000055</v>
      </c>
      <c r="D112" s="18">
        <v>7495.87</v>
      </c>
      <c r="E112" s="19">
        <f t="shared" si="10"/>
        <v>312613.28000000055</v>
      </c>
      <c r="F112" s="18">
        <v>123000</v>
      </c>
      <c r="G112" s="18">
        <v>0</v>
      </c>
      <c r="H112" s="18">
        <v>0</v>
      </c>
      <c r="I112" s="19">
        <f t="shared" si="11"/>
        <v>123000</v>
      </c>
      <c r="J112" s="49">
        <f t="shared" si="12"/>
        <v>49396380.930000052</v>
      </c>
      <c r="K112" s="17"/>
    </row>
    <row r="113" spans="1:11" ht="21.75" customHeight="1" x14ac:dyDescent="0.2">
      <c r="A113" s="47" t="s">
        <v>134</v>
      </c>
      <c r="B113" s="14">
        <f t="shared" si="9"/>
        <v>49396380.930000052</v>
      </c>
      <c r="C113" s="18">
        <v>275514.82999999961</v>
      </c>
      <c r="D113" s="18">
        <v>7356.67</v>
      </c>
      <c r="E113" s="19">
        <f t="shared" si="10"/>
        <v>268158.15999999963</v>
      </c>
      <c r="F113" s="18">
        <v>70000</v>
      </c>
      <c r="G113" s="18">
        <v>0</v>
      </c>
      <c r="H113" s="18">
        <v>0</v>
      </c>
      <c r="I113" s="19">
        <f t="shared" si="11"/>
        <v>70000</v>
      </c>
      <c r="J113" s="49">
        <f t="shared" si="12"/>
        <v>49594539.090000048</v>
      </c>
      <c r="K113" s="17"/>
    </row>
    <row r="114" spans="1:11" ht="23.1" customHeight="1" thickBot="1" x14ac:dyDescent="0.3">
      <c r="A114" s="52" t="s">
        <v>135</v>
      </c>
      <c r="B114" s="53">
        <f t="shared" si="9"/>
        <v>49594539.090000048</v>
      </c>
      <c r="C114" s="54">
        <v>280978.45999999967</v>
      </c>
      <c r="D114" s="55">
        <v>7762.67</v>
      </c>
      <c r="E114" s="56">
        <f>+C114-D114</f>
        <v>273215.78999999969</v>
      </c>
      <c r="F114" s="55">
        <v>280000</v>
      </c>
      <c r="G114" s="55">
        <v>0</v>
      </c>
      <c r="H114" s="55">
        <v>0</v>
      </c>
      <c r="I114" s="56">
        <f t="shared" si="11"/>
        <v>280000</v>
      </c>
      <c r="J114" s="57">
        <f t="shared" si="12"/>
        <v>49587754.880000047</v>
      </c>
      <c r="K114" s="17"/>
    </row>
    <row r="115" spans="1:11" ht="15" customHeight="1" thickBot="1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</row>
    <row r="116" spans="1:11" ht="20.100000000000001" customHeight="1" thickBot="1" x14ac:dyDescent="0.25">
      <c r="A116" s="22"/>
      <c r="B116" s="23" t="s">
        <v>125</v>
      </c>
      <c r="C116" s="24">
        <f t="shared" ref="C116:I116" si="13">SUM(C10:C114)</f>
        <v>14927317.429999998</v>
      </c>
      <c r="D116" s="24">
        <f t="shared" si="13"/>
        <v>1215910.51</v>
      </c>
      <c r="E116" s="24">
        <f t="shared" si="13"/>
        <v>13711406.920000002</v>
      </c>
      <c r="F116" s="24">
        <f t="shared" si="13"/>
        <v>134836075.41000003</v>
      </c>
      <c r="G116" s="24">
        <f t="shared" si="13"/>
        <v>6890080.4400000004</v>
      </c>
      <c r="H116" s="24">
        <f t="shared" si="13"/>
        <v>23019060.06000001</v>
      </c>
      <c r="I116" s="25">
        <f t="shared" si="13"/>
        <v>118707095.78999998</v>
      </c>
      <c r="J116" s="21"/>
    </row>
    <row r="117" spans="1:11" ht="20.100000000000001" customHeight="1" x14ac:dyDescent="0.2">
      <c r="A117" s="22"/>
      <c r="B117" s="23"/>
      <c r="C117" s="26"/>
      <c r="D117" s="26"/>
      <c r="E117" s="26"/>
      <c r="F117" s="26"/>
      <c r="G117" s="26"/>
      <c r="H117" s="26"/>
      <c r="I117" s="26"/>
      <c r="J117" s="21"/>
    </row>
    <row r="118" spans="1:11" ht="20.100000000000001" customHeight="1" x14ac:dyDescent="0.2">
      <c r="A118" s="22"/>
      <c r="B118" s="23"/>
      <c r="C118" s="26"/>
      <c r="D118" s="26"/>
      <c r="E118" s="26"/>
      <c r="F118" s="26"/>
      <c r="G118" s="26"/>
      <c r="H118" s="26"/>
      <c r="I118" s="26"/>
      <c r="J118" s="21"/>
    </row>
    <row r="119" spans="1:11" ht="20.100000000000001" customHeight="1" x14ac:dyDescent="0.2">
      <c r="A119" s="22"/>
      <c r="B119" s="23"/>
      <c r="C119" s="26"/>
      <c r="D119" s="26"/>
      <c r="E119" s="26"/>
      <c r="G119" s="26"/>
      <c r="H119" s="26"/>
      <c r="I119" s="26"/>
      <c r="J119" s="21"/>
    </row>
    <row r="121" spans="1:11" x14ac:dyDescent="0.2">
      <c r="A121" s="27"/>
      <c r="I121" s="28"/>
    </row>
    <row r="122" spans="1:11" x14ac:dyDescent="0.2">
      <c r="A122" s="27"/>
      <c r="B122" s="29"/>
      <c r="C122" s="21"/>
      <c r="D122" s="21"/>
      <c r="G122" s="29"/>
      <c r="I122" s="30"/>
    </row>
    <row r="123" spans="1:11" ht="13.5" thickBot="1" x14ac:dyDescent="0.25">
      <c r="A123" s="39"/>
      <c r="B123" s="39"/>
      <c r="G123" s="22"/>
      <c r="I123" s="31"/>
      <c r="J123" s="31"/>
    </row>
    <row r="124" spans="1:11" x14ac:dyDescent="0.2">
      <c r="A124" s="34" t="s">
        <v>126</v>
      </c>
      <c r="B124" s="34"/>
      <c r="D124" s="32"/>
      <c r="G124" s="32"/>
      <c r="H124" s="32"/>
      <c r="I124" s="40" t="s">
        <v>127</v>
      </c>
      <c r="J124" s="34"/>
    </row>
    <row r="125" spans="1:11" x14ac:dyDescent="0.2">
      <c r="A125" s="34" t="s">
        <v>128</v>
      </c>
      <c r="B125" s="34"/>
      <c r="D125" s="32"/>
      <c r="E125" s="34"/>
      <c r="F125" s="34"/>
      <c r="G125" s="32"/>
      <c r="H125" s="32"/>
      <c r="I125" s="34" t="s">
        <v>129</v>
      </c>
      <c r="J125" s="34"/>
    </row>
  </sheetData>
  <mergeCells count="8">
    <mergeCell ref="A125:B125"/>
    <mergeCell ref="E125:F125"/>
    <mergeCell ref="I125:J125"/>
    <mergeCell ref="A2:J2"/>
    <mergeCell ref="A7:J7"/>
    <mergeCell ref="A123:B123"/>
    <mergeCell ref="A124:B124"/>
    <mergeCell ref="I124:J124"/>
  </mergeCells>
  <printOptions horizontalCentered="1"/>
  <pageMargins left="3.937007874015748E-2" right="3.937007874015748E-2" top="0.59055118110236227" bottom="0.39370078740157483" header="0" footer="0"/>
  <pageSetup scale="56" orientation="landscape" r:id="rId1"/>
  <headerFooter alignWithMargins="0"/>
  <rowBreaks count="4" manualBreakCount="4">
    <brk id="36" max="9" man="1"/>
    <brk id="63" max="9" man="1"/>
    <brk id="90" max="9" man="1"/>
    <brk id="125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2001798-001 2018 1ER TRIM</vt:lpstr>
      <vt:lpstr>'2001798-001 2018 1ER TRIM'!Área_de_impresión</vt:lpstr>
      <vt:lpstr>'2001798-001 2018 1ER TRIM'!Títulos_a_imprimir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Cacique</dc:creator>
  <cp:lastModifiedBy>Cacique</cp:lastModifiedBy>
  <cp:lastPrinted>2018-04-24T22:47:16Z</cp:lastPrinted>
  <dcterms:created xsi:type="dcterms:W3CDTF">2018-04-24T16:03:20Z</dcterms:created>
  <dcterms:modified xsi:type="dcterms:W3CDTF">2018-04-24T22:47:38Z</dcterms:modified>
</cp:coreProperties>
</file>